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Allon\2020\2020_Groups\2020-05_Pastor Ejaz Nabie\"/>
    </mc:Choice>
  </mc:AlternateContent>
  <xr:revisionPtr revIDLastSave="0" documentId="13_ncr:1_{279C6185-FE0E-4DED-98D2-5BC27F2D637A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Costing-$$$ V.1" sheetId="16" r:id="rId1"/>
    <sheet name="PFile" sheetId="14" r:id="rId2"/>
    <sheet name="Itinerary v.2" sheetId="11" r:id="rId3"/>
    <sheet name="E.Fees - BLS (2017-18)" sheetId="13" r:id="rId4"/>
    <sheet name="Sheet1" sheetId="15" r:id="rId5"/>
  </sheets>
  <definedNames>
    <definedName name="_xlnm.Print_Area" localSheetId="0">'Costing-$$$ V.1'!$A$1:$Q$94</definedName>
    <definedName name="_xlnm.Print_Area" localSheetId="3">'E.Fees - BLS (2017-18)'!$A$1:$M$63</definedName>
    <definedName name="_xlnm.Print_Area" localSheetId="2">'Itinerary v.2'!$A$1:$L$23</definedName>
    <definedName name="_xlnm.Print_Area" localSheetId="1">#REF!</definedName>
    <definedName name="_xlnm.Print_Area">#REF!</definedName>
    <definedName name="_xlnm.Print_Titles" localSheetId="0">'Costing-$$$ V.1'!$1:$3</definedName>
    <definedName name="Z_4395F076_9B5F_4CA4_AB4F_5A6312123000_.wvu.PrintArea" localSheetId="0" hidden="1">'Costing-$$$ V.1'!$A$1:$Q$79</definedName>
    <definedName name="Z_4395F076_9B5F_4CA4_AB4F_5A6312123000_.wvu.PrintArea" localSheetId="3" hidden="1">'E.Fees - BLS (2017-18)'!$A$1:$M$63</definedName>
    <definedName name="Z_4395F076_9B5F_4CA4_AB4F_5A6312123000_.wvu.PrintArea" localSheetId="2" hidden="1">'Itinerary v.2'!$A$1:$K$22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2" i="16" l="1"/>
  <c r="M152" i="16"/>
  <c r="L152" i="16"/>
  <c r="K152" i="16"/>
  <c r="J152" i="16"/>
  <c r="I152" i="16"/>
  <c r="H152" i="16"/>
  <c r="N158" i="16" l="1"/>
  <c r="M158" i="16"/>
  <c r="L158" i="16"/>
  <c r="K158" i="16"/>
  <c r="J158" i="16"/>
  <c r="I158" i="16"/>
  <c r="H158" i="16"/>
  <c r="M156" i="16"/>
  <c r="M149" i="16"/>
  <c r="J149" i="16"/>
  <c r="G149" i="16"/>
  <c r="G152" i="16" s="1"/>
  <c r="M146" i="16"/>
  <c r="K146" i="16"/>
  <c r="K156" i="16" s="1"/>
  <c r="J146" i="16"/>
  <c r="J156" i="16" s="1"/>
  <c r="N140" i="16"/>
  <c r="M140" i="16"/>
  <c r="L140" i="16"/>
  <c r="K140" i="16"/>
  <c r="J140" i="16"/>
  <c r="I140" i="16"/>
  <c r="H140" i="16"/>
  <c r="I138" i="16"/>
  <c r="G131" i="16"/>
  <c r="N131" i="16" s="1"/>
  <c r="N128" i="16"/>
  <c r="N146" i="16" s="1"/>
  <c r="N156" i="16" s="1"/>
  <c r="M128" i="16"/>
  <c r="L128" i="16"/>
  <c r="L146" i="16" s="1"/>
  <c r="L156" i="16" s="1"/>
  <c r="K128" i="16"/>
  <c r="J128" i="16"/>
  <c r="I128" i="16"/>
  <c r="I146" i="16" s="1"/>
  <c r="I156" i="16" s="1"/>
  <c r="H128" i="16"/>
  <c r="H146" i="16" s="1"/>
  <c r="H156" i="16" s="1"/>
  <c r="K121" i="16"/>
  <c r="J121" i="16"/>
  <c r="I121" i="16"/>
  <c r="H121" i="16"/>
  <c r="K119" i="16"/>
  <c r="K138" i="16" s="1"/>
  <c r="I119" i="16"/>
  <c r="H119" i="16"/>
  <c r="H138" i="16" s="1"/>
  <c r="G113" i="16"/>
  <c r="G116" i="16" s="1"/>
  <c r="N116" i="16" s="1"/>
  <c r="N110" i="16"/>
  <c r="N119" i="16" s="1"/>
  <c r="N138" i="16" s="1"/>
  <c r="M110" i="16"/>
  <c r="M119" i="16" s="1"/>
  <c r="M138" i="16" s="1"/>
  <c r="L110" i="16"/>
  <c r="L119" i="16" s="1"/>
  <c r="L138" i="16" s="1"/>
  <c r="K110" i="16"/>
  <c r="J110" i="16"/>
  <c r="J119" i="16" s="1"/>
  <c r="J138" i="16" s="1"/>
  <c r="I110" i="16"/>
  <c r="H110" i="16"/>
  <c r="P91" i="16"/>
  <c r="M91" i="16"/>
  <c r="J91" i="16"/>
  <c r="G91" i="16"/>
  <c r="E91" i="16"/>
  <c r="E92" i="16" s="1"/>
  <c r="Q90" i="16"/>
  <c r="P90" i="16"/>
  <c r="P92" i="16" s="1"/>
  <c r="O90" i="16"/>
  <c r="N90" i="16"/>
  <c r="M90" i="16"/>
  <c r="L90" i="16"/>
  <c r="K90" i="16"/>
  <c r="J90" i="16"/>
  <c r="J92" i="16" s="1"/>
  <c r="I90" i="16"/>
  <c r="H90" i="16"/>
  <c r="G90" i="16"/>
  <c r="G92" i="16" s="1"/>
  <c r="F90" i="16"/>
  <c r="F8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R69" i="16"/>
  <c r="Q69" i="16"/>
  <c r="P69" i="16"/>
  <c r="O69" i="16"/>
  <c r="N69" i="16"/>
  <c r="M69" i="16"/>
  <c r="L69" i="16"/>
  <c r="K69" i="16"/>
  <c r="J69" i="16"/>
  <c r="I69" i="16"/>
  <c r="H69" i="16"/>
  <c r="G69" i="16"/>
  <c r="F69" i="16"/>
  <c r="R68" i="16"/>
  <c r="Q68" i="16"/>
  <c r="P68" i="16"/>
  <c r="O68" i="16"/>
  <c r="N68" i="16"/>
  <c r="M68" i="16"/>
  <c r="L68" i="16"/>
  <c r="K68" i="16"/>
  <c r="J68" i="16"/>
  <c r="I68" i="16"/>
  <c r="H68" i="16"/>
  <c r="G68" i="16"/>
  <c r="F68" i="16"/>
  <c r="R65" i="16"/>
  <c r="O65" i="16"/>
  <c r="D65" i="16"/>
  <c r="N65" i="16" s="1"/>
  <c r="O60" i="16"/>
  <c r="M60" i="16"/>
  <c r="F59" i="16"/>
  <c r="N57" i="16"/>
  <c r="E57" i="16"/>
  <c r="O57" i="16" s="1"/>
  <c r="D52" i="16"/>
  <c r="E51" i="16"/>
  <c r="N47" i="16"/>
  <c r="D46" i="16"/>
  <c r="L45" i="16"/>
  <c r="M45" i="16" s="1"/>
  <c r="H45" i="16"/>
  <c r="I45" i="16" s="1"/>
  <c r="D45" i="16"/>
  <c r="Y44" i="16"/>
  <c r="Z44" i="16" s="1"/>
  <c r="AA44" i="16" s="1"/>
  <c r="G44" i="16"/>
  <c r="H44" i="16" s="1"/>
  <c r="D44" i="16"/>
  <c r="Y43" i="16"/>
  <c r="Z43" i="16" s="1"/>
  <c r="AA43" i="16" s="1"/>
  <c r="E43" i="16"/>
  <c r="Z42" i="16"/>
  <c r="AA42" i="16" s="1"/>
  <c r="Y42" i="16"/>
  <c r="E42" i="16"/>
  <c r="Y41" i="16"/>
  <c r="Z41" i="16" s="1"/>
  <c r="AA41" i="16" s="1"/>
  <c r="D41" i="16"/>
  <c r="H40" i="16"/>
  <c r="G40" i="16"/>
  <c r="D40" i="16"/>
  <c r="D39" i="16"/>
  <c r="D38" i="16"/>
  <c r="J37" i="16"/>
  <c r="I37" i="16"/>
  <c r="H37" i="16"/>
  <c r="D37" i="16"/>
  <c r="D36" i="16"/>
  <c r="D47" i="16" s="1"/>
  <c r="AB35" i="16"/>
  <c r="AA35" i="16"/>
  <c r="E35" i="16"/>
  <c r="C35" i="16"/>
  <c r="AB34" i="16"/>
  <c r="AB29" i="16" s="1"/>
  <c r="P21" i="16" s="1"/>
  <c r="AA34" i="16"/>
  <c r="AA29" i="16" s="1"/>
  <c r="M21" i="16" s="1"/>
  <c r="E34" i="16"/>
  <c r="B34" i="16"/>
  <c r="E33" i="16"/>
  <c r="C32" i="16"/>
  <c r="E32" i="16" s="1"/>
  <c r="E47" i="16" s="1"/>
  <c r="E30" i="16"/>
  <c r="D30" i="16"/>
  <c r="E29" i="16"/>
  <c r="E28" i="16"/>
  <c r="Q23" i="16"/>
  <c r="N23" i="16"/>
  <c r="K23" i="16"/>
  <c r="H23" i="16"/>
  <c r="E23" i="16"/>
  <c r="AA22" i="16"/>
  <c r="Z22" i="16"/>
  <c r="Q22" i="16"/>
  <c r="N22" i="16"/>
  <c r="K22" i="16"/>
  <c r="H22" i="16"/>
  <c r="E22" i="16"/>
  <c r="AA21" i="16"/>
  <c r="Z21" i="16"/>
  <c r="P59" i="16" s="1"/>
  <c r="J21" i="16"/>
  <c r="K21" i="16" s="1"/>
  <c r="H21" i="16"/>
  <c r="G21" i="16"/>
  <c r="G24" i="16" s="1"/>
  <c r="H24" i="16" s="1"/>
  <c r="E21" i="16"/>
  <c r="D21" i="16"/>
  <c r="D24" i="16" s="1"/>
  <c r="E24" i="16" s="1"/>
  <c r="AA20" i="16"/>
  <c r="Z20" i="16"/>
  <c r="J59" i="16" s="1"/>
  <c r="Q20" i="16"/>
  <c r="H20" i="16"/>
  <c r="G20" i="16"/>
  <c r="D20" i="16"/>
  <c r="E20" i="16" s="1"/>
  <c r="AA19" i="16"/>
  <c r="Z19" i="16"/>
  <c r="G59" i="16" s="1"/>
  <c r="H19" i="16"/>
  <c r="G19" i="16"/>
  <c r="D19" i="16"/>
  <c r="E19" i="16" s="1"/>
  <c r="AA15" i="16"/>
  <c r="Z15" i="16"/>
  <c r="E15" i="16"/>
  <c r="AA14" i="16"/>
  <c r="Z14" i="16"/>
  <c r="M58" i="16" s="1"/>
  <c r="D14" i="16"/>
  <c r="AA13" i="16"/>
  <c r="Z13" i="16"/>
  <c r="I58" i="16" s="1"/>
  <c r="D13" i="16"/>
  <c r="AG12" i="16"/>
  <c r="AF12" i="16"/>
  <c r="AE12" i="16"/>
  <c r="AD12" i="16"/>
  <c r="AC12" i="16"/>
  <c r="AA12" i="16"/>
  <c r="Z12" i="16" s="1"/>
  <c r="G58" i="16" s="1"/>
  <c r="E12" i="16"/>
  <c r="AA11" i="16"/>
  <c r="Z11" i="16" s="1"/>
  <c r="F58" i="16" s="1"/>
  <c r="D11" i="16"/>
  <c r="AA10" i="16"/>
  <c r="Z10" i="16"/>
  <c r="B10" i="16"/>
  <c r="N9" i="16"/>
  <c r="D9" i="16"/>
  <c r="N8" i="16"/>
  <c r="N7" i="16"/>
  <c r="D7" i="16"/>
  <c r="I49" i="16" s="1"/>
  <c r="S6" i="16"/>
  <c r="N6" i="16"/>
  <c r="D6" i="16"/>
  <c r="H49" i="16" s="1"/>
  <c r="H50" i="16" s="1"/>
  <c r="Z5" i="16"/>
  <c r="E60" i="16" s="1"/>
  <c r="R60" i="16" s="1"/>
  <c r="S5" i="16"/>
  <c r="N5" i="16"/>
  <c r="N10" i="16" s="1"/>
  <c r="F5" i="16"/>
  <c r="H5" i="16" s="1"/>
  <c r="D5" i="16"/>
  <c r="G49" i="16" s="1"/>
  <c r="Z4" i="16"/>
  <c r="D60" i="16" s="1"/>
  <c r="L50" i="16" l="1"/>
  <c r="M50" i="16" s="1"/>
  <c r="N50" i="16" s="1"/>
  <c r="O50" i="16" s="1"/>
  <c r="C50" i="16" s="1"/>
  <c r="E50" i="16" s="1"/>
  <c r="E56" i="16" s="1"/>
  <c r="D12" i="16"/>
  <c r="C64" i="16" s="1"/>
  <c r="E64" i="16" s="1"/>
  <c r="O64" i="16" s="1"/>
  <c r="I131" i="16"/>
  <c r="L131" i="16"/>
  <c r="K116" i="16"/>
  <c r="H113" i="16"/>
  <c r="N113" i="16"/>
  <c r="H116" i="16"/>
  <c r="I113" i="16"/>
  <c r="K113" i="16"/>
  <c r="N12" i="16"/>
  <c r="M11" i="16"/>
  <c r="L49" i="16"/>
  <c r="E25" i="16"/>
  <c r="M49" i="16"/>
  <c r="N64" i="16"/>
  <c r="I5" i="16"/>
  <c r="F6" i="16"/>
  <c r="I4" i="16"/>
  <c r="H25" i="16"/>
  <c r="N26" i="16"/>
  <c r="N21" i="16"/>
  <c r="M20" i="16"/>
  <c r="N20" i="16" s="1"/>
  <c r="M19" i="16"/>
  <c r="N19" i="16" s="1"/>
  <c r="N25" i="16" s="1"/>
  <c r="M24" i="16"/>
  <c r="N24" i="16" s="1"/>
  <c r="Q21" i="16"/>
  <c r="P19" i="16"/>
  <c r="Q19" i="16" s="1"/>
  <c r="P24" i="16"/>
  <c r="Q24" i="16" s="1"/>
  <c r="Q26" i="16"/>
  <c r="H58" i="16"/>
  <c r="O58" i="16"/>
  <c r="I59" i="16"/>
  <c r="H60" i="16"/>
  <c r="K60" i="16"/>
  <c r="J60" i="16"/>
  <c r="J19" i="16"/>
  <c r="K19" i="16" s="1"/>
  <c r="AA36" i="16"/>
  <c r="AB36" i="16"/>
  <c r="P57" i="16"/>
  <c r="J58" i="16"/>
  <c r="Q58" i="16"/>
  <c r="L59" i="16"/>
  <c r="F60" i="16"/>
  <c r="G60" i="16"/>
  <c r="G5" i="16"/>
  <c r="T5" i="16" s="1"/>
  <c r="N60" i="16"/>
  <c r="Q60" i="16"/>
  <c r="P60" i="16"/>
  <c r="L57" i="16"/>
  <c r="R57" i="16"/>
  <c r="N59" i="16"/>
  <c r="I60" i="16"/>
  <c r="M92" i="16"/>
  <c r="R58" i="16"/>
  <c r="L58" i="16"/>
  <c r="Q57" i="16"/>
  <c r="K58" i="16"/>
  <c r="M59" i="16"/>
  <c r="G4" i="16"/>
  <c r="D15" i="16"/>
  <c r="D62" i="16" s="1"/>
  <c r="M57" i="16"/>
  <c r="N58" i="16"/>
  <c r="H59" i="16"/>
  <c r="O59" i="16"/>
  <c r="L60" i="16"/>
  <c r="M116" i="16"/>
  <c r="L116" i="16"/>
  <c r="J116" i="16"/>
  <c r="I116" i="16"/>
  <c r="I149" i="16"/>
  <c r="N149" i="16"/>
  <c r="H149" i="16"/>
  <c r="L149" i="16"/>
  <c r="K149" i="16"/>
  <c r="Q59" i="16"/>
  <c r="K59" i="16"/>
  <c r="J24" i="16"/>
  <c r="K24" i="16" s="1"/>
  <c r="J20" i="16"/>
  <c r="K20" i="16" s="1"/>
  <c r="P58" i="16"/>
  <c r="R59" i="16"/>
  <c r="P65" i="16"/>
  <c r="H91" i="16"/>
  <c r="H92" i="16" s="1"/>
  <c r="N91" i="16"/>
  <c r="N92" i="16" s="1"/>
  <c r="L113" i="16"/>
  <c r="J131" i="16"/>
  <c r="G134" i="16"/>
  <c r="Q65" i="16"/>
  <c r="I91" i="16"/>
  <c r="I92" i="16" s="1"/>
  <c r="O91" i="16"/>
  <c r="O92" i="16" s="1"/>
  <c r="M113" i="16"/>
  <c r="K131" i="16"/>
  <c r="K91" i="16"/>
  <c r="K92" i="16" s="1"/>
  <c r="Q91" i="16"/>
  <c r="Q92" i="16" s="1"/>
  <c r="M131" i="16"/>
  <c r="F91" i="16"/>
  <c r="F92" i="16" s="1"/>
  <c r="L91" i="16"/>
  <c r="L92" i="16" s="1"/>
  <c r="J113" i="16"/>
  <c r="H131" i="16"/>
  <c r="R64" i="16" l="1"/>
  <c r="Q64" i="16"/>
  <c r="M64" i="16"/>
  <c r="P64" i="16"/>
  <c r="F56" i="16"/>
  <c r="G56" i="16"/>
  <c r="G6" i="16"/>
  <c r="T6" i="16" s="1"/>
  <c r="H6" i="16"/>
  <c r="D73" i="16"/>
  <c r="C71" i="16" s="1"/>
  <c r="E71" i="16" s="1"/>
  <c r="R62" i="16"/>
  <c r="L62" i="16"/>
  <c r="F62" i="16"/>
  <c r="O62" i="16"/>
  <c r="I62" i="16"/>
  <c r="N62" i="16"/>
  <c r="H62" i="16"/>
  <c r="M62" i="16"/>
  <c r="K62" i="16"/>
  <c r="J62" i="16"/>
  <c r="G62" i="16"/>
  <c r="Q62" i="16"/>
  <c r="P62" i="16"/>
  <c r="C82" i="16"/>
  <c r="S81" i="16"/>
  <c r="L12" i="16"/>
  <c r="Q25" i="16"/>
  <c r="F53" i="16" s="1"/>
  <c r="F55" i="16" s="1"/>
  <c r="N49" i="16"/>
  <c r="O49" i="16" s="1"/>
  <c r="C49" i="16" s="1"/>
  <c r="E49" i="16" s="1"/>
  <c r="E52" i="16" s="1"/>
  <c r="E63" i="16" s="1"/>
  <c r="M53" i="16"/>
  <c r="M55" i="16" s="1"/>
  <c r="L53" i="16"/>
  <c r="L55" i="16" s="1"/>
  <c r="N53" i="16"/>
  <c r="N55" i="16" s="1"/>
  <c r="O53" i="16"/>
  <c r="O55" i="16" s="1"/>
  <c r="Q53" i="16"/>
  <c r="Q55" i="16" s="1"/>
  <c r="R53" i="16"/>
  <c r="R55" i="16" s="1"/>
  <c r="P53" i="16"/>
  <c r="P55" i="16" s="1"/>
  <c r="K134" i="16"/>
  <c r="J134" i="16"/>
  <c r="N134" i="16"/>
  <c r="H134" i="16"/>
  <c r="M134" i="16"/>
  <c r="I134" i="16"/>
  <c r="L134" i="16"/>
  <c r="K25" i="16"/>
  <c r="G53" i="16"/>
  <c r="G55" i="16" s="1"/>
  <c r="H53" i="16"/>
  <c r="H55" i="16" s="1"/>
  <c r="Q66" i="16" l="1"/>
  <c r="P63" i="16"/>
  <c r="P66" i="16" s="1"/>
  <c r="J63" i="16"/>
  <c r="M63" i="16"/>
  <c r="M66" i="16" s="1"/>
  <c r="G63" i="16"/>
  <c r="R63" i="16"/>
  <c r="L63" i="16"/>
  <c r="L66" i="16" s="1"/>
  <c r="F63" i="16"/>
  <c r="F66" i="16" s="1"/>
  <c r="K63" i="16"/>
  <c r="H63" i="16"/>
  <c r="H66" i="16" s="1"/>
  <c r="O63" i="16"/>
  <c r="Q63" i="16"/>
  <c r="N63" i="16"/>
  <c r="N66" i="16" s="1"/>
  <c r="I63" i="16"/>
  <c r="O66" i="16"/>
  <c r="M71" i="16"/>
  <c r="G71" i="16"/>
  <c r="R71" i="16"/>
  <c r="L71" i="16"/>
  <c r="F71" i="16"/>
  <c r="P71" i="16"/>
  <c r="J71" i="16"/>
  <c r="O71" i="16"/>
  <c r="I71" i="16"/>
  <c r="Q71" i="16"/>
  <c r="N71" i="16"/>
  <c r="K71" i="16"/>
  <c r="H71" i="16"/>
  <c r="I6" i="16"/>
  <c r="F7" i="16"/>
  <c r="I53" i="16"/>
  <c r="I55" i="16" s="1"/>
  <c r="K53" i="16"/>
  <c r="K55" i="16" s="1"/>
  <c r="J53" i="16"/>
  <c r="J55" i="16" s="1"/>
  <c r="O120" i="16"/>
  <c r="S82" i="16"/>
  <c r="G66" i="16"/>
  <c r="R66" i="16"/>
  <c r="K66" i="16" l="1"/>
  <c r="K73" i="16" s="1"/>
  <c r="K81" i="16" s="1"/>
  <c r="I66" i="16"/>
  <c r="I73" i="16" s="1"/>
  <c r="I81" i="16" s="1"/>
  <c r="J66" i="16"/>
  <c r="J75" i="16" s="1"/>
  <c r="H73" i="16"/>
  <c r="H81" i="16" s="1"/>
  <c r="H75" i="16"/>
  <c r="M73" i="16"/>
  <c r="M81" i="16" s="1"/>
  <c r="M75" i="16"/>
  <c r="F73" i="16"/>
  <c r="F81" i="16" s="1"/>
  <c r="F82" i="16" s="1"/>
  <c r="F75" i="16"/>
  <c r="L73" i="16"/>
  <c r="L81" i="16" s="1"/>
  <c r="L75" i="16"/>
  <c r="O122" i="16"/>
  <c r="O139" i="16"/>
  <c r="O141" i="16" s="1"/>
  <c r="O157" i="16" s="1"/>
  <c r="O159" i="16" s="1"/>
  <c r="G73" i="16"/>
  <c r="G81" i="16" s="1"/>
  <c r="G75" i="16"/>
  <c r="J73" i="16"/>
  <c r="J81" i="16" s="1"/>
  <c r="O73" i="16"/>
  <c r="O81" i="16" s="1"/>
  <c r="O75" i="16"/>
  <c r="N73" i="16"/>
  <c r="N81" i="16" s="1"/>
  <c r="N75" i="16"/>
  <c r="G7" i="16"/>
  <c r="H7" i="16"/>
  <c r="I7" i="16" s="1"/>
  <c r="P73" i="16"/>
  <c r="P81" i="16" s="1"/>
  <c r="P75" i="16"/>
  <c r="Q73" i="16"/>
  <c r="Q81" i="16" s="1"/>
  <c r="Q75" i="16"/>
  <c r="R73" i="16"/>
  <c r="R81" i="16" s="1"/>
  <c r="R75" i="16"/>
  <c r="I75" i="16" l="1"/>
  <c r="K75" i="16"/>
  <c r="N103" i="16"/>
  <c r="N102" i="16" s="1"/>
  <c r="N111" i="16" s="1"/>
  <c r="N114" i="16" s="1"/>
  <c r="N117" i="16" s="1"/>
  <c r="M100" i="16"/>
  <c r="M99" i="16" s="1"/>
  <c r="M147" i="16" s="1"/>
  <c r="M150" i="16" s="1"/>
  <c r="M153" i="16" s="1"/>
  <c r="M103" i="16"/>
  <c r="M102" i="16" s="1"/>
  <c r="M111" i="16" s="1"/>
  <c r="M114" i="16" s="1"/>
  <c r="M117" i="16" s="1"/>
  <c r="J103" i="16"/>
  <c r="J100" i="16"/>
  <c r="J99" i="16" s="1"/>
  <c r="J147" i="16" s="1"/>
  <c r="J150" i="16" s="1"/>
  <c r="J153" i="16" s="1"/>
  <c r="I100" i="16"/>
  <c r="I99" i="16" s="1"/>
  <c r="I147" i="16" s="1"/>
  <c r="I150" i="16" s="1"/>
  <c r="I153" i="16" s="1"/>
  <c r="I103" i="16"/>
  <c r="I102" i="16" s="1"/>
  <c r="I111" i="16" s="1"/>
  <c r="I114" i="16" s="1"/>
  <c r="I117" i="16" s="1"/>
  <c r="L100" i="16"/>
  <c r="L99" i="16" s="1"/>
  <c r="L147" i="16" s="1"/>
  <c r="L150" i="16" s="1"/>
  <c r="L153" i="16" s="1"/>
  <c r="L103" i="16"/>
  <c r="L102" i="16" s="1"/>
  <c r="L111" i="16" s="1"/>
  <c r="L114" i="16" s="1"/>
  <c r="L117" i="16" s="1"/>
  <c r="K100" i="16"/>
  <c r="K99" i="16" s="1"/>
  <c r="K147" i="16" s="1"/>
  <c r="K150" i="16" s="1"/>
  <c r="K153" i="16" s="1"/>
  <c r="K103" i="16"/>
  <c r="K102" i="16" s="1"/>
  <c r="K111" i="16" s="1"/>
  <c r="K114" i="16" s="1"/>
  <c r="K117" i="16" s="1"/>
  <c r="H100" i="16"/>
  <c r="H99" i="16" s="1"/>
  <c r="H147" i="16" s="1"/>
  <c r="H150" i="16" s="1"/>
  <c r="H153" i="16" s="1"/>
  <c r="N106" i="16"/>
  <c r="N105" i="16" s="1"/>
  <c r="N129" i="16" s="1"/>
  <c r="N132" i="16" s="1"/>
  <c r="N135" i="16" s="1"/>
  <c r="R85" i="16"/>
  <c r="R86" i="16" s="1"/>
  <c r="N100" i="16"/>
  <c r="N99" i="16" s="1"/>
  <c r="N147" i="16" s="1"/>
  <c r="N150" i="16" s="1"/>
  <c r="N153" i="16" s="1"/>
  <c r="R82" i="16"/>
  <c r="Q93" i="16"/>
  <c r="Q94" i="16" s="1"/>
  <c r="Q95" i="16" s="1"/>
  <c r="J102" i="16"/>
  <c r="J111" i="16" s="1"/>
  <c r="J114" i="16" s="1"/>
  <c r="J117" i="16" s="1"/>
  <c r="N82" i="16"/>
  <c r="J106" i="16"/>
  <c r="J105" i="16" s="1"/>
  <c r="J129" i="16" s="1"/>
  <c r="J132" i="16" s="1"/>
  <c r="J135" i="16" s="1"/>
  <c r="N85" i="16"/>
  <c r="N86" i="16" s="1"/>
  <c r="M93" i="16"/>
  <c r="M94" i="16" s="1"/>
  <c r="M95" i="16" s="1"/>
  <c r="M82" i="16"/>
  <c r="I106" i="16"/>
  <c r="I105" i="16" s="1"/>
  <c r="I129" i="16" s="1"/>
  <c r="I132" i="16" s="1"/>
  <c r="I135" i="16" s="1"/>
  <c r="M85" i="16"/>
  <c r="M86" i="16" s="1"/>
  <c r="L93" i="16"/>
  <c r="L94" i="16" s="1"/>
  <c r="L95" i="16" s="1"/>
  <c r="G82" i="16"/>
  <c r="F93" i="16"/>
  <c r="F94" i="16" s="1"/>
  <c r="F95" i="16" s="1"/>
  <c r="K82" i="16"/>
  <c r="K85" i="16"/>
  <c r="K86" i="16" s="1"/>
  <c r="J93" i="16"/>
  <c r="J94" i="16" s="1"/>
  <c r="J95" i="16" s="1"/>
  <c r="I85" i="16"/>
  <c r="I86" i="16" s="1"/>
  <c r="I82" i="16"/>
  <c r="H93" i="16"/>
  <c r="H94" i="16" s="1"/>
  <c r="H95" i="16" s="1"/>
  <c r="Q82" i="16"/>
  <c r="M106" i="16"/>
  <c r="M105" i="16" s="1"/>
  <c r="M129" i="16" s="1"/>
  <c r="M132" i="16" s="1"/>
  <c r="M135" i="16" s="1"/>
  <c r="Q85" i="16"/>
  <c r="Q86" i="16" s="1"/>
  <c r="P93" i="16"/>
  <c r="P94" i="16" s="1"/>
  <c r="P95" i="16" s="1"/>
  <c r="P82" i="16"/>
  <c r="L106" i="16"/>
  <c r="L105" i="16" s="1"/>
  <c r="L129" i="16" s="1"/>
  <c r="L132" i="16" s="1"/>
  <c r="L135" i="16" s="1"/>
  <c r="P85" i="16"/>
  <c r="P86" i="16" s="1"/>
  <c r="O93" i="16"/>
  <c r="O94" i="16" s="1"/>
  <c r="O95" i="16" s="1"/>
  <c r="K106" i="16"/>
  <c r="K105" i="16" s="1"/>
  <c r="K129" i="16" s="1"/>
  <c r="K132" i="16" s="1"/>
  <c r="K135" i="16" s="1"/>
  <c r="O85" i="16"/>
  <c r="O86" i="16" s="1"/>
  <c r="O82" i="16"/>
  <c r="N93" i="16"/>
  <c r="N94" i="16" s="1"/>
  <c r="N95" i="16" s="1"/>
  <c r="J82" i="16"/>
  <c r="J85" i="16"/>
  <c r="J86" i="16" s="1"/>
  <c r="I93" i="16"/>
  <c r="I94" i="16" s="1"/>
  <c r="I95" i="16" s="1"/>
  <c r="H106" i="16"/>
  <c r="H105" i="16" s="1"/>
  <c r="H129" i="16" s="1"/>
  <c r="H132" i="16" s="1"/>
  <c r="H135" i="16" s="1"/>
  <c r="L85" i="16"/>
  <c r="L86" i="16" s="1"/>
  <c r="H103" i="16"/>
  <c r="H102" i="16" s="1"/>
  <c r="H111" i="16" s="1"/>
  <c r="H114" i="16" s="1"/>
  <c r="H117" i="16" s="1"/>
  <c r="L82" i="16"/>
  <c r="K93" i="16"/>
  <c r="K94" i="16" s="1"/>
  <c r="K95" i="16" s="1"/>
  <c r="H82" i="16"/>
  <c r="G93" i="16"/>
  <c r="G94" i="16" s="1"/>
  <c r="G95" i="16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7" i="11"/>
  <c r="A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H53" i="13"/>
  <c r="E54" i="13" s="1"/>
  <c r="E55" i="13" s="1"/>
  <c r="I53" i="13"/>
  <c r="F54" i="13"/>
  <c r="C55" i="13"/>
  <c r="F53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1" i="13" s="1"/>
  <c r="A43" i="13" s="1"/>
  <c r="A44" i="13" s="1"/>
  <c r="A45" i="13" s="1"/>
  <c r="A46" i="13" s="1"/>
  <c r="A47" i="13" s="1"/>
  <c r="A48" i="13" s="1"/>
  <c r="E53" i="13"/>
  <c r="L22" i="11"/>
  <c r="K22" i="11"/>
  <c r="J22" i="11"/>
  <c r="B7" i="11"/>
  <c r="B8" i="11"/>
  <c r="B9" i="11" s="1"/>
  <c r="B10" i="11" s="1"/>
  <c r="C6" i="11"/>
  <c r="B5" i="11"/>
  <c r="C7" i="11"/>
  <c r="H118" i="16" l="1"/>
  <c r="H120" i="16" s="1"/>
  <c r="H122" i="16" s="1"/>
  <c r="L118" i="16"/>
  <c r="L120" i="16" s="1"/>
  <c r="L122" i="16" s="1"/>
  <c r="I136" i="16"/>
  <c r="I139" i="16" s="1"/>
  <c r="I141" i="16" s="1"/>
  <c r="H136" i="16"/>
  <c r="H139" i="16" s="1"/>
  <c r="H141" i="16" s="1"/>
  <c r="B139" i="16" s="1"/>
  <c r="D139" i="16" s="1"/>
  <c r="N136" i="16"/>
  <c r="N139" i="16" s="1"/>
  <c r="N141" i="16" s="1"/>
  <c r="J118" i="16"/>
  <c r="J120" i="16" s="1"/>
  <c r="K136" i="16"/>
  <c r="K139" i="16" s="1"/>
  <c r="K141" i="16" s="1"/>
  <c r="J136" i="16"/>
  <c r="J139" i="16" s="1"/>
  <c r="J141" i="16" s="1"/>
  <c r="H154" i="16"/>
  <c r="H157" i="16" s="1"/>
  <c r="K118" i="16"/>
  <c r="K120" i="16" s="1"/>
  <c r="K122" i="16" s="1"/>
  <c r="L136" i="16"/>
  <c r="L139" i="16" s="1"/>
  <c r="L141" i="16" s="1"/>
  <c r="M136" i="16"/>
  <c r="M139" i="16" s="1"/>
  <c r="M141" i="16" s="1"/>
  <c r="M154" i="16"/>
  <c r="M157" i="16" s="1"/>
  <c r="M159" i="16" s="1"/>
  <c r="J154" i="16"/>
  <c r="J157" i="16" s="1"/>
  <c r="N118" i="16"/>
  <c r="N120" i="16" s="1"/>
  <c r="N122" i="16" s="1"/>
  <c r="K154" i="16"/>
  <c r="K157" i="16" s="1"/>
  <c r="K159" i="16" s="1"/>
  <c r="N154" i="16"/>
  <c r="N157" i="16" s="1"/>
  <c r="N159" i="16" s="1"/>
  <c r="M118" i="16"/>
  <c r="M120" i="16" s="1"/>
  <c r="M122" i="16" s="1"/>
  <c r="L154" i="16"/>
  <c r="L157" i="16" s="1"/>
  <c r="L159" i="16" s="1"/>
  <c r="I154" i="16"/>
  <c r="I157" i="16" s="1"/>
  <c r="I159" i="16" s="1"/>
  <c r="I118" i="16"/>
  <c r="I120" i="16" s="1"/>
  <c r="I122" i="16" s="1"/>
  <c r="F55" i="13"/>
  <c r="E57" i="13"/>
  <c r="E59" i="13" s="1"/>
  <c r="C9" i="11"/>
  <c r="F57" i="13"/>
  <c r="F59" i="13" s="1"/>
  <c r="C10" i="11"/>
  <c r="B11" i="11"/>
  <c r="C8" i="11"/>
  <c r="H159" i="16" l="1"/>
  <c r="B157" i="16"/>
  <c r="D157" i="16" s="1"/>
  <c r="B120" i="16"/>
  <c r="D120" i="16" s="1"/>
  <c r="J122" i="16"/>
  <c r="J159" i="16"/>
  <c r="C11" i="11"/>
  <c r="B12" i="11"/>
  <c r="C12" i="11" l="1"/>
  <c r="B13" i="11"/>
  <c r="C13" i="11" l="1"/>
  <c r="B14" i="11"/>
  <c r="B15" i="11" l="1"/>
  <c r="C14" i="11"/>
  <c r="B16" i="11" l="1"/>
  <c r="C15" i="11"/>
  <c r="C16" i="11" l="1"/>
  <c r="B17" i="11"/>
  <c r="B18" i="11" l="1"/>
  <c r="C17" i="11"/>
  <c r="B19" i="11" l="1"/>
  <c r="C19" i="11" s="1"/>
  <c r="C18" i="11"/>
</calcChain>
</file>

<file path=xl/sharedStrings.xml><?xml version="1.0" encoding="utf-8"?>
<sst xmlns="http://schemas.openxmlformats.org/spreadsheetml/2006/main" count="557" uniqueCount="374">
  <si>
    <t>NTs</t>
  </si>
  <si>
    <t>Price</t>
  </si>
  <si>
    <t>P/Pax</t>
  </si>
  <si>
    <t>Porterage in/out</t>
  </si>
  <si>
    <t>G.Total Hotels:</t>
  </si>
  <si>
    <t>Transportation</t>
  </si>
  <si>
    <t>BUS</t>
  </si>
  <si>
    <t>Minibus</t>
  </si>
  <si>
    <t>1/2 Day Bus</t>
  </si>
  <si>
    <t>Full Day Bus</t>
  </si>
  <si>
    <t>Overtime</t>
  </si>
  <si>
    <t>Route 6 Highway</t>
  </si>
  <si>
    <t>Transfer JRS to BGA</t>
  </si>
  <si>
    <t>Total Transport.:</t>
  </si>
  <si>
    <t>Total:</t>
  </si>
  <si>
    <t>Airport Parking</t>
  </si>
  <si>
    <t>Total for BG APT</t>
  </si>
  <si>
    <t>Guide Upon Arr./Dep.</t>
  </si>
  <si>
    <t>Upon departure (Transfer to BG APT)</t>
  </si>
  <si>
    <t>Guide</t>
  </si>
  <si>
    <t>Guide/Driver Exp.</t>
  </si>
  <si>
    <t>Meals, Parking &amp; Taxis</t>
  </si>
  <si>
    <t>VAT</t>
  </si>
  <si>
    <t>Entrance Fees</t>
  </si>
  <si>
    <t>Mineral Beach DS</t>
  </si>
  <si>
    <t>Farwell Dinner</t>
  </si>
  <si>
    <t xml:space="preserve">Sub - Total </t>
  </si>
  <si>
    <t>Extras</t>
  </si>
  <si>
    <t>Total Extras</t>
  </si>
  <si>
    <t>Transportation……………</t>
  </si>
  <si>
    <t>Pax………………………..</t>
  </si>
  <si>
    <t>Transportation P/Pax</t>
  </si>
  <si>
    <t>Variable</t>
  </si>
  <si>
    <t>Fix</t>
  </si>
  <si>
    <t>Total Incl. H/Fee</t>
  </si>
  <si>
    <t>H.Fee in %:</t>
  </si>
  <si>
    <t>Group Size</t>
  </si>
  <si>
    <t>Pax:</t>
  </si>
  <si>
    <t>20-24</t>
  </si>
  <si>
    <t>25-29</t>
  </si>
  <si>
    <t>30-34</t>
  </si>
  <si>
    <t>35-39</t>
  </si>
  <si>
    <t>40-44</t>
  </si>
  <si>
    <t>45+</t>
  </si>
  <si>
    <t>Price:</t>
  </si>
  <si>
    <t>TIB</t>
  </si>
  <si>
    <t>T/G Flight to ETH</t>
  </si>
  <si>
    <t>12-13</t>
  </si>
  <si>
    <t>14-15</t>
  </si>
  <si>
    <t>Spot</t>
  </si>
  <si>
    <t>Rate</t>
  </si>
  <si>
    <t>Ver.</t>
  </si>
  <si>
    <t>15-19</t>
  </si>
  <si>
    <t>Bus</t>
  </si>
  <si>
    <t>Transfer APT - TLV/NET</t>
  </si>
  <si>
    <t>Handouts+Rollup+Hostess</t>
  </si>
  <si>
    <t>Midibus</t>
  </si>
  <si>
    <t>Additional Bus</t>
  </si>
  <si>
    <t>8 - 14  Pax</t>
  </si>
  <si>
    <t>1 - 2 Pax</t>
  </si>
  <si>
    <t>W/VAT</t>
  </si>
  <si>
    <t>No VAT</t>
  </si>
  <si>
    <t>Smile</t>
  </si>
  <si>
    <t>*$$$ - As per FG.</t>
  </si>
  <si>
    <t>Minibus:</t>
  </si>
  <si>
    <t>Bus:</t>
  </si>
  <si>
    <t>From:</t>
  </si>
  <si>
    <t>Till:</t>
  </si>
  <si>
    <t>Transportation 2016/17</t>
  </si>
  <si>
    <t>Basis</t>
  </si>
  <si>
    <t>Type</t>
  </si>
  <si>
    <t>SS P/NT</t>
  </si>
  <si>
    <t>SGL Supp.</t>
  </si>
  <si>
    <t>HB</t>
  </si>
  <si>
    <t xml:space="preserve">Total: </t>
  </si>
  <si>
    <t>Net</t>
  </si>
  <si>
    <t>Aver.</t>
  </si>
  <si>
    <t>Sub-Total Hotels:</t>
  </si>
  <si>
    <t>Sell</t>
  </si>
  <si>
    <t>Welcome Dinner @ Hotel</t>
  </si>
  <si>
    <t>@ Marina Hotel</t>
  </si>
  <si>
    <t>Friday Supp + Dinner</t>
  </si>
  <si>
    <t xml:space="preserve">$32+$10+$10 (Diner + Wkend Supp + Fri. Dinner Supp.) </t>
  </si>
  <si>
    <t xml:space="preserve">Tour Guide:  </t>
  </si>
  <si>
    <t>#</t>
  </si>
  <si>
    <t>Date</t>
  </si>
  <si>
    <t>Day</t>
  </si>
  <si>
    <t>AM</t>
  </si>
  <si>
    <t>Lunch</t>
  </si>
  <si>
    <t>PM</t>
  </si>
  <si>
    <t>Evening</t>
  </si>
  <si>
    <t>O/N</t>
  </si>
  <si>
    <t>Hotel</t>
  </si>
  <si>
    <t>T/G</t>
  </si>
  <si>
    <t>SS</t>
  </si>
  <si>
    <t>S/Seeing to the North</t>
  </si>
  <si>
    <t>½</t>
  </si>
  <si>
    <t xml:space="preserve">  -----   Free  Day or Optional to Petra   -----</t>
  </si>
  <si>
    <t xml:space="preserve">  -----   Free  Day at Leisure   -----</t>
  </si>
  <si>
    <t xml:space="preserve"> Bus ----&gt;</t>
  </si>
  <si>
    <t xml:space="preserve"> Midi-Bus ----&gt;</t>
  </si>
  <si>
    <t>Increase</t>
  </si>
  <si>
    <t>JRS</t>
  </si>
  <si>
    <t>S/Supp</t>
  </si>
  <si>
    <t>Total</t>
  </si>
  <si>
    <t>G. Total</t>
  </si>
  <si>
    <t>Guide Overnight</t>
  </si>
  <si>
    <t>Driver Overnight</t>
  </si>
  <si>
    <t xml:space="preserve">&lt;---- Van </t>
  </si>
  <si>
    <t>Misc. / Slash Fund</t>
  </si>
  <si>
    <t>City of David</t>
  </si>
  <si>
    <t>6-7</t>
  </si>
  <si>
    <t>8-9</t>
  </si>
  <si>
    <t>10-11</t>
  </si>
  <si>
    <t>Inc.</t>
  </si>
  <si>
    <t>Inc.%</t>
  </si>
  <si>
    <t>Credit for no Driver O/NT</t>
  </si>
  <si>
    <t>Ave.:</t>
  </si>
  <si>
    <t>SGL</t>
  </si>
  <si>
    <t xml:space="preserve"> Minibus ----&gt;</t>
  </si>
  <si>
    <t>3-4  Pax</t>
  </si>
  <si>
    <t>5-7  Pax</t>
  </si>
  <si>
    <t>USD</t>
  </si>
  <si>
    <t>As of:</t>
  </si>
  <si>
    <t>Spot:</t>
  </si>
  <si>
    <t>No.</t>
  </si>
  <si>
    <t>Site</t>
  </si>
  <si>
    <t>Curr.</t>
  </si>
  <si>
    <t>Size</t>
  </si>
  <si>
    <t>P/Group</t>
  </si>
  <si>
    <t>National Parks Authority</t>
  </si>
  <si>
    <t>NIS</t>
  </si>
  <si>
    <t>Green</t>
  </si>
  <si>
    <t>Blue</t>
  </si>
  <si>
    <t>Orange</t>
  </si>
  <si>
    <t>"Dig For A Day"</t>
  </si>
  <si>
    <t>FIT</t>
  </si>
  <si>
    <t>For Group over 24 pax</t>
  </si>
  <si>
    <t>Grp</t>
  </si>
  <si>
    <t>For group less than 24 pax</t>
  </si>
  <si>
    <t>Ayalon Institute</t>
  </si>
  <si>
    <t>Palamach Museum</t>
  </si>
  <si>
    <t>Independence Hall</t>
  </si>
  <si>
    <t>Diaspora Museum</t>
  </si>
  <si>
    <t>Muchraka</t>
  </si>
  <si>
    <t>Boat Ride</t>
  </si>
  <si>
    <t>Capernaum</t>
  </si>
  <si>
    <t>Magdala</t>
  </si>
  <si>
    <t>Rosh Hanikra</t>
  </si>
  <si>
    <t>Safed - Synagogues</t>
  </si>
  <si>
    <t>Jeep Tour - Golan Heights</t>
  </si>
  <si>
    <t>Kayaking on the Jordan</t>
  </si>
  <si>
    <t>For group over 20 Pax.</t>
  </si>
  <si>
    <t>Mt. Beatitudes</t>
  </si>
  <si>
    <t>Santa Anna (Bethsda)</t>
  </si>
  <si>
    <t>WWT - Western Wall Tunnel</t>
  </si>
  <si>
    <t>Kardo</t>
  </si>
  <si>
    <t>Davidson Center</t>
  </si>
  <si>
    <t>For group over 25 Pax.</t>
  </si>
  <si>
    <t>Ophel Archaeological Park</t>
  </si>
  <si>
    <t>Includin in the above.</t>
  </si>
  <si>
    <t>Herodian Mension</t>
  </si>
  <si>
    <t>Burnt House + Herodian</t>
  </si>
  <si>
    <t>Yad Vashem - Earphone</t>
  </si>
  <si>
    <t>Parking for Bus.</t>
  </si>
  <si>
    <t>Yad Vashem - Guiding</t>
  </si>
  <si>
    <t>israel Museum</t>
  </si>
  <si>
    <t>Shrine + 2nd Temple Model</t>
  </si>
  <si>
    <t>Masada</t>
  </si>
  <si>
    <t>N / A</t>
  </si>
  <si>
    <t>Non</t>
  </si>
  <si>
    <t>Masada - Cable Car (Return)</t>
  </si>
  <si>
    <t>Bar-Mitzvah @ Masada</t>
  </si>
  <si>
    <t>(Museum + Chairs)</t>
  </si>
  <si>
    <t>Float at the Dead Sea</t>
  </si>
  <si>
    <t>Mineral Beach</t>
  </si>
  <si>
    <t>Hatzerim Air Force Base</t>
  </si>
  <si>
    <t xml:space="preserve">NIS </t>
  </si>
  <si>
    <t>Beduin Hospitality</t>
  </si>
  <si>
    <t>Camel Riding</t>
  </si>
  <si>
    <t>Ben Gurion Hut</t>
  </si>
  <si>
    <t>Total of USD</t>
  </si>
  <si>
    <t>Total of NIS</t>
  </si>
  <si>
    <t>Exchange Rate</t>
  </si>
  <si>
    <t>Total in USD</t>
  </si>
  <si>
    <t>Total Entrance Fees</t>
  </si>
  <si>
    <t>15-60 Pax</t>
  </si>
  <si>
    <t>1 - 2</t>
  </si>
  <si>
    <t>3 - 4</t>
  </si>
  <si>
    <t>5 - 7</t>
  </si>
  <si>
    <t>8 - 14</t>
  </si>
  <si>
    <t>15-60</t>
  </si>
  <si>
    <t xml:space="preserve"> Porterage: </t>
  </si>
  <si>
    <t>Sale Gross</t>
  </si>
  <si>
    <t>Net to GT</t>
  </si>
  <si>
    <t>Diff.</t>
  </si>
  <si>
    <t>P/(L) P/Grp</t>
  </si>
  <si>
    <t>P/(L) P/Pax</t>
  </si>
  <si>
    <t>10 BLS Option C (7 NTs)</t>
  </si>
  <si>
    <t>Opt. C</t>
  </si>
  <si>
    <t>Tabgha</t>
  </si>
  <si>
    <t>National Parks Unlimited</t>
  </si>
  <si>
    <t>Old Boat - Ginosar</t>
  </si>
  <si>
    <t xml:space="preserve"> Arrival Cost: </t>
  </si>
  <si>
    <t xml:space="preserve"> Departure Cost: </t>
  </si>
  <si>
    <t>Notes:</t>
  </si>
  <si>
    <t># of Pax</t>
  </si>
  <si>
    <t>Arr.</t>
  </si>
  <si>
    <t>Dep.</t>
  </si>
  <si>
    <t>Both</t>
  </si>
  <si>
    <t>Sub-Total (B4 H/Fees)</t>
  </si>
  <si>
    <t>6 Seater</t>
  </si>
  <si>
    <t>Daily</t>
  </si>
  <si>
    <t>Fuel</t>
  </si>
  <si>
    <t>Car</t>
  </si>
  <si>
    <t>Mini-Van</t>
  </si>
  <si>
    <t>*$$$ - As per ABN</t>
  </si>
  <si>
    <t>Transpo.</t>
  </si>
  <si>
    <t>MiniVan</t>
  </si>
  <si>
    <t>Type:</t>
  </si>
  <si>
    <t>Single Supp. Sale Price:</t>
  </si>
  <si>
    <t>Prog. - 10D / 7N</t>
  </si>
  <si>
    <t>Van (11)</t>
  </si>
  <si>
    <t>Free from Hotels (1/20)</t>
  </si>
  <si>
    <t xml:space="preserve">P.File: </t>
  </si>
  <si>
    <t>Pax</t>
  </si>
  <si>
    <t>Adults</t>
  </si>
  <si>
    <t>Children (ages)</t>
  </si>
  <si>
    <t xml:space="preserve">Date: </t>
  </si>
  <si>
    <t>Arriving / Departing</t>
  </si>
  <si>
    <t>Carr.</t>
  </si>
  <si>
    <t>FLT</t>
  </si>
  <si>
    <t>ETA</t>
  </si>
  <si>
    <t>From</t>
  </si>
  <si>
    <t>To</t>
  </si>
  <si>
    <t>Land</t>
  </si>
  <si>
    <t>Border</t>
  </si>
  <si>
    <t>Info.</t>
  </si>
  <si>
    <t>In File</t>
  </si>
  <si>
    <t>A</t>
  </si>
  <si>
    <t>R/List</t>
  </si>
  <si>
    <t>D</t>
  </si>
  <si>
    <t>Transport.</t>
  </si>
  <si>
    <t>Airport Services &amp; Transfers</t>
  </si>
  <si>
    <t>M&amp;A</t>
  </si>
  <si>
    <t>Conf.</t>
  </si>
  <si>
    <t>to</t>
  </si>
  <si>
    <t>HTL</t>
  </si>
  <si>
    <t>Status</t>
  </si>
  <si>
    <t>By</t>
  </si>
  <si>
    <t>Vehicle</t>
  </si>
  <si>
    <t>Accommodation</t>
  </si>
  <si>
    <t>Hotel Name</t>
  </si>
  <si>
    <t>City</t>
  </si>
  <si>
    <t>Till</t>
  </si>
  <si>
    <t>X</t>
  </si>
  <si>
    <t>XX</t>
  </si>
  <si>
    <t>XXX</t>
  </si>
  <si>
    <t>Notes</t>
  </si>
  <si>
    <t>OK</t>
  </si>
  <si>
    <t>Driver:</t>
  </si>
  <si>
    <t>Venues &amp; Sites reserved:</t>
  </si>
  <si>
    <t>Private Car Tours</t>
  </si>
  <si>
    <t>Time</t>
  </si>
  <si>
    <t>Venues Booked</t>
  </si>
  <si>
    <t>Days</t>
  </si>
  <si>
    <t>Special Venues Booked</t>
  </si>
  <si>
    <t>Date &amp; Day</t>
  </si>
  <si>
    <t>North</t>
  </si>
  <si>
    <t>M&amp;A Service @ BG APT</t>
  </si>
  <si>
    <t>PC Cost</t>
  </si>
  <si>
    <t>Buses Charter</t>
  </si>
  <si>
    <t>Smile at BGA (Arrival)</t>
  </si>
  <si>
    <t>Smile at BGA (Departure)</t>
  </si>
  <si>
    <t>Porterage at BGA (A&amp;D)</t>
  </si>
  <si>
    <t>Handing Fee GT</t>
  </si>
  <si>
    <t>Smile late booking supp. or Laufer VIP</t>
  </si>
  <si>
    <t xml:space="preserve">Menu #1: </t>
  </si>
  <si>
    <t xml:space="preserve">Menu #2: </t>
  </si>
  <si>
    <t xml:space="preserve">Menu #3: </t>
  </si>
  <si>
    <t xml:space="preserve">Menu #4: </t>
  </si>
  <si>
    <t>Service:</t>
  </si>
  <si>
    <t>X-Change:</t>
  </si>
  <si>
    <t>Maganda</t>
  </si>
  <si>
    <t>As of 21-May-2017</t>
  </si>
  <si>
    <t>BB</t>
  </si>
  <si>
    <t>1 - 7 Pax</t>
  </si>
  <si>
    <t>*Supp of $10 for Smile Booking</t>
  </si>
  <si>
    <t>Y2018</t>
  </si>
  <si>
    <t>BLE - Bible Land Experience  ►  E. Fees</t>
  </si>
  <si>
    <t>S/Seeing North</t>
  </si>
  <si>
    <t>S/Seeing DS/Masada</t>
  </si>
  <si>
    <t>#101????</t>
  </si>
  <si>
    <t>Dinner &amp; Transfer to BG APT</t>
  </si>
  <si>
    <t>Audio System</t>
  </si>
  <si>
    <t>Tel Aviv</t>
  </si>
  <si>
    <t>Dead sea area</t>
  </si>
  <si>
    <t>Jerusalem</t>
  </si>
  <si>
    <t>Departure</t>
  </si>
  <si>
    <t>Royal beach</t>
  </si>
  <si>
    <t>Hagoshrim</t>
  </si>
  <si>
    <t>Kfar Hanokdim</t>
  </si>
  <si>
    <t xml:space="preserve">Cramim </t>
  </si>
  <si>
    <t>Orient</t>
  </si>
  <si>
    <t>Hertzliya</t>
  </si>
  <si>
    <t>Publica</t>
  </si>
  <si>
    <t>Yes/No</t>
  </si>
  <si>
    <t>Recveid R/L:</t>
  </si>
  <si>
    <t>Notes &amp; Prices</t>
  </si>
  <si>
    <t>R/L sent to HTLs (Date):</t>
  </si>
  <si>
    <t>Bus req. sent to Maya:</t>
  </si>
  <si>
    <t>Notes and Remarks:</t>
  </si>
  <si>
    <t xml:space="preserve">Guide: </t>
  </si>
  <si>
    <t xml:space="preserve">Mobile: </t>
  </si>
  <si>
    <t xml:space="preserve">Mobile:  </t>
  </si>
  <si>
    <t>RO</t>
  </si>
  <si>
    <t>FB</t>
  </si>
  <si>
    <t>??</t>
  </si>
  <si>
    <t>Select Formating</t>
  </si>
  <si>
    <t>Estimnated</t>
  </si>
  <si>
    <t>2B Checked</t>
  </si>
  <si>
    <t>OK (Final)</t>
  </si>
  <si>
    <t>Confirmed</t>
  </si>
  <si>
    <t>¤¤</t>
  </si>
  <si>
    <t>10/11 Seater</t>
  </si>
  <si>
    <t>Room Type &amp; Notes</t>
  </si>
  <si>
    <t>(Via: Angela Scharf)</t>
  </si>
  <si>
    <t>Depart USA (Miami Via FRA)</t>
  </si>
  <si>
    <t>S/Seeing JRS</t>
  </si>
  <si>
    <t xml:space="preserve">Arrival to BG APT
Transfer to TIB
</t>
  </si>
  <si>
    <t xml:space="preserve">03:15- Transfer to BG APT
</t>
  </si>
  <si>
    <t>Q70220</t>
  </si>
  <si>
    <t>Lazzari (Trinidad) Group - 04/2019</t>
  </si>
  <si>
    <t>Extra Guiding (Shabbat)</t>
  </si>
  <si>
    <t>1 Free in DBL</t>
  </si>
  <si>
    <t>v.2</t>
  </si>
  <si>
    <t>59 Seater Bus</t>
  </si>
  <si>
    <t xml:space="preserve">Eerz </t>
  </si>
  <si>
    <t>Catholic Grp</t>
  </si>
  <si>
    <t>Hotels - 2020</t>
  </si>
  <si>
    <t>Water per person</t>
  </si>
  <si>
    <t>1/10 Frees</t>
  </si>
  <si>
    <t xml:space="preserve"> Minibus  ---&gt;</t>
  </si>
  <si>
    <t xml:space="preserve"> Midi Bus  ---&gt;</t>
  </si>
  <si>
    <t xml:space="preserve">  Bus   ---&gt;</t>
  </si>
  <si>
    <t>Estimate air Net:</t>
  </si>
  <si>
    <t>Air w/Free 1/5:</t>
  </si>
  <si>
    <t>E.Bird</t>
  </si>
  <si>
    <t>Published</t>
  </si>
  <si>
    <t>SGL Supp</t>
  </si>
  <si>
    <t>Final rate on Flyer</t>
  </si>
  <si>
    <t>1/5 Free (Land &amp; Air)</t>
  </si>
  <si>
    <t xml:space="preserve">Early Bed: </t>
  </si>
  <si>
    <t>Air w/Free 1/10:</t>
  </si>
  <si>
    <t>1/10 Free (Land &amp; Air)</t>
  </si>
  <si>
    <t>1/5 Frees</t>
  </si>
  <si>
    <t>1 free</t>
  </si>
  <si>
    <t>Tech</t>
  </si>
  <si>
    <t>2020-05_Pastor Ejaz Nabie</t>
  </si>
  <si>
    <t>TLV</t>
  </si>
  <si>
    <t>Sound and light show</t>
  </si>
  <si>
    <t>Evening out bus</t>
  </si>
  <si>
    <t>Evening out guide</t>
  </si>
  <si>
    <t>Uri</t>
  </si>
  <si>
    <t>Land only - 2300</t>
  </si>
  <si>
    <t>Send to client -3400</t>
  </si>
  <si>
    <t>Send to Client</t>
  </si>
  <si>
    <t>Land only</t>
  </si>
  <si>
    <t>HER - Sharon</t>
  </si>
  <si>
    <t>TIB - Kinar</t>
  </si>
  <si>
    <t>Send to client 2990</t>
  </si>
  <si>
    <t>Land only - 1750</t>
  </si>
  <si>
    <t>JRS - Ramda</t>
  </si>
  <si>
    <t>Chosen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</si>
</sst>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_ ;_ * \-#,##0_ ;_ * &quot;-&quot;_ ;_ @_ "/>
    <numFmt numFmtId="169" formatCode="_([$€-2]* #,##0.00_);_([$€-2]* \(#,##0.00\);_([$€-2]* &quot;-&quot;??_)"/>
    <numFmt numFmtId="170" formatCode="ddd\."/>
    <numFmt numFmtId="171" formatCode="0.0%"/>
    <numFmt numFmtId="172" formatCode="_([$€-2]\ * #,##0.00_);_([$€-2]\ * \(#,##0.00\);_([$€-2]\ * &quot;-&quot;??_);_(@_)"/>
    <numFmt numFmtId="173" formatCode="_(&quot;$&quot;* #,##0_);_(&quot;$&quot;* \(#,##0\);_(&quot;$&quot;* &quot;-&quot;??_);_(@_)"/>
    <numFmt numFmtId="174" formatCode="0\ &quot;NTs&quot;"/>
    <numFmt numFmtId="175" formatCode="_(&quot;$&quot;* #,##0.00_);_(&quot;$&quot;* \(#,##0.00\);_(&quot;$&quot;* &quot;-&quot;_);_(@_)"/>
    <numFmt numFmtId="176" formatCode="_([$€-2]\ * #,##0_);_([$€-2]\ * \(#,##0\);_([$€-2]\ * &quot;-&quot;??_);_(@_)"/>
    <numFmt numFmtId="177" formatCode="0.0\ %\ "/>
    <numFmt numFmtId="178" formatCode="_(* #,##0_);_(* \(#,##0\);_(* &quot;-&quot;??_);_(@_)"/>
    <numFmt numFmtId="179" formatCode="0\ &quot;Days&quot;"/>
    <numFmt numFmtId="180" formatCode="_-[$$-409]* #,##0.00_ ;_-[$$-409]* \-#,##0.00\ ;_-[$$-409]* &quot;-&quot;??_ ;_-@_ "/>
    <numFmt numFmtId="181" formatCode="_ [$₪-40D]\ * #,##0.00_ ;_ [$₪-40D]\ * \-#,##0.00_ ;_ [$₪-40D]\ * &quot;-&quot;??_ ;_ @_ "/>
    <numFmt numFmtId="182" formatCode="&quot;As of: &quot;\ dd\-mmm\-yyyy"/>
    <numFmt numFmtId="183" formatCode="[$-409]dd/mmm/yy;@"/>
    <numFmt numFmtId="184" formatCode="_ [$₪-40D]\ * #,##0_ ;_ [$₪-40D]\ * \-#,##0_ ;_ [$₪-40D]\ * &quot;-&quot;??_ ;_ @_ "/>
    <numFmt numFmtId="185" formatCode="0.0\ &quot;Days&quot;"/>
    <numFmt numFmtId="186" formatCode="_(&quot;$&quot;* #,##0.0_);_(&quot;$&quot;* \(#,##0.0\);_(&quot;$&quot;* &quot;-&quot;??_);_(@_)"/>
    <numFmt numFmtId="187" formatCode="0\ &quot;Pax&quot;"/>
    <numFmt numFmtId="188" formatCode="ddd"/>
    <numFmt numFmtId="189" formatCode="yyyy"/>
    <numFmt numFmtId="190" formatCode="0."/>
    <numFmt numFmtId="191" formatCode="#,##0_ ;[Red]\-#,##0\ "/>
    <numFmt numFmtId="192" formatCode="0.0%_);[Red]\(0.0%\)"/>
    <numFmt numFmtId="193" formatCode="[$-409]dd/mmm/yy\ \(dddd\);@"/>
    <numFmt numFmtId="194" formatCode="#,##0.00;[Red]#,##0.00"/>
    <numFmt numFmtId="195" formatCode="_ [$₪-40D]\ * #,##0.00_ ;_ [$₪-40D]\ * \-#,##0.00_ ;_ [$₪-40D]\ * &quot;-&quot;_ ;_ @_ "/>
    <numFmt numFmtId="196" formatCode="_([$€-2]\ * #,##0_);_([$€-2]\ * \(#,##0\);_([$€-2]\ * &quot;-&quot;_);_(@_)"/>
    <numFmt numFmtId="197" formatCode="&quot;$&quot;#,##0"/>
    <numFmt numFmtId="198" formatCode="[$-409]dd/mmm/yy\ \(ddd\.\);@"/>
    <numFmt numFmtId="199" formatCode="\ @"/>
    <numFmt numFmtId="200" formatCode="\ \ @"/>
    <numFmt numFmtId="201" formatCode="[$-409]\ dd/mmm/yy\ \(ddd\.\)\ ;@"/>
    <numFmt numFmtId="202" formatCode="0.0\ %"/>
    <numFmt numFmtId="203" formatCode="[$-F800]dddd\,\ mmmm\ dd\,\ yyyy"/>
    <numFmt numFmtId="204" formatCode="&quot;+&quot;0"/>
    <numFmt numFmtId="205" formatCode="_-* #,##0_-;\-* #,##0_-;_-* &quot;-&quot;??_-;_-@_-"/>
  </numFmts>
  <fonts count="187">
    <font>
      <sz val="9"/>
      <name val="Univers Condensed (PCL6)"/>
    </font>
    <font>
      <sz val="9"/>
      <name val="Univers Condensed (PCL6)"/>
    </font>
    <font>
      <sz val="9"/>
      <name val="Univers"/>
      <family val="2"/>
    </font>
    <font>
      <sz val="10"/>
      <name val="Arial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b/>
      <sz val="16"/>
      <name val="Arial Narrow"/>
      <family val="2"/>
    </font>
    <font>
      <b/>
      <i/>
      <sz val="9"/>
      <color indexed="16"/>
      <name val="Tahoma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8"/>
      <name val="Arial Narrow"/>
      <family val="2"/>
    </font>
    <font>
      <i/>
      <sz val="9"/>
      <name val="Arial"/>
      <family val="2"/>
    </font>
    <font>
      <b/>
      <sz val="11"/>
      <name val="Arial Narrow"/>
      <family val="2"/>
    </font>
    <font>
      <b/>
      <sz val="10"/>
      <name val="Arial Rounded MT Bold"/>
      <family val="2"/>
    </font>
    <font>
      <b/>
      <sz val="9"/>
      <name val="Arial"/>
      <family val="2"/>
    </font>
    <font>
      <sz val="10"/>
      <color indexed="8"/>
      <name val="Arial Narrow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b/>
      <i/>
      <sz val="10"/>
      <name val="Arial Rounded MT Bold"/>
      <family val="2"/>
    </font>
    <font>
      <sz val="9"/>
      <color indexed="23"/>
      <name val="Arial Narrow"/>
      <family val="2"/>
    </font>
    <font>
      <sz val="10"/>
      <color indexed="55"/>
      <name val="Arial Narrow"/>
      <family val="2"/>
    </font>
    <font>
      <b/>
      <sz val="9"/>
      <name val="Arial Rounded MT Bold"/>
      <family val="2"/>
    </font>
    <font>
      <i/>
      <sz val="10"/>
      <name val="Arial Narrow"/>
      <family val="2"/>
    </font>
    <font>
      <sz val="9"/>
      <name val="Century Gothic"/>
      <family val="2"/>
    </font>
    <font>
      <b/>
      <i/>
      <sz val="9"/>
      <color indexed="10"/>
      <name val="Century Gothic"/>
      <family val="2"/>
    </font>
    <font>
      <i/>
      <sz val="9"/>
      <name val="Century Gothic"/>
      <family val="2"/>
    </font>
    <font>
      <b/>
      <i/>
      <sz val="10"/>
      <name val="Arial Narrow"/>
      <family val="2"/>
    </font>
    <font>
      <sz val="8"/>
      <name val="Arial Narrow"/>
      <family val="2"/>
    </font>
    <font>
      <sz val="11"/>
      <name val="Arial Rounded MT Bold"/>
      <family val="2"/>
    </font>
    <font>
      <b/>
      <sz val="9"/>
      <color indexed="42"/>
      <name val="Arial Rounded MT Bold"/>
      <family val="2"/>
    </font>
    <font>
      <b/>
      <i/>
      <sz val="8"/>
      <name val="Arial"/>
      <family val="2"/>
    </font>
    <font>
      <b/>
      <i/>
      <sz val="9"/>
      <color indexed="12"/>
      <name val="Arial Rounded MT Bold"/>
      <family val="2"/>
    </font>
    <font>
      <b/>
      <sz val="10"/>
      <color indexed="8"/>
      <name val="Arial Rounded MT Bold"/>
      <family val="2"/>
    </font>
    <font>
      <b/>
      <i/>
      <sz val="10"/>
      <color indexed="8"/>
      <name val="Arial Rounded MT Bold"/>
      <family val="2"/>
    </font>
    <font>
      <i/>
      <sz val="10"/>
      <color indexed="8"/>
      <name val="Arial"/>
      <family val="2"/>
    </font>
    <font>
      <b/>
      <sz val="9"/>
      <name val="Tahoma"/>
      <family val="2"/>
    </font>
    <font>
      <b/>
      <sz val="9"/>
      <color indexed="55"/>
      <name val="Arial Rounded MT Bold"/>
      <family val="2"/>
    </font>
    <font>
      <i/>
      <sz val="10"/>
      <color indexed="55"/>
      <name val="Arial Narrow"/>
      <family val="2"/>
    </font>
    <font>
      <b/>
      <sz val="8"/>
      <name val="Verdana"/>
      <family val="2"/>
    </font>
    <font>
      <b/>
      <sz val="16"/>
      <color indexed="22"/>
      <name val="Arial Narrow"/>
      <family val="2"/>
    </font>
    <font>
      <sz val="9"/>
      <name val="Calibri"/>
      <family val="2"/>
    </font>
    <font>
      <b/>
      <sz val="14"/>
      <name val="Arial Narrow"/>
      <family val="2"/>
    </font>
    <font>
      <b/>
      <sz val="10"/>
      <name val="Verdana"/>
      <family val="2"/>
    </font>
    <font>
      <sz val="8"/>
      <name val="Candara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9"/>
      <name val="Bookman Old Style"/>
      <family val="1"/>
    </font>
    <font>
      <i/>
      <sz val="10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6100"/>
      <name val="Calibri"/>
      <family val="2"/>
    </font>
    <font>
      <b/>
      <sz val="10"/>
      <color indexed="8"/>
      <name val="Calibri"/>
      <family val="2"/>
      <scheme val="minor"/>
    </font>
    <font>
      <sz val="9"/>
      <name val="Tahoma"/>
      <family val="2"/>
    </font>
    <font>
      <b/>
      <sz val="12"/>
      <name val="Calibri"/>
      <family val="2"/>
    </font>
    <font>
      <b/>
      <i/>
      <sz val="9"/>
      <color rgb="FFFF0000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u/>
      <sz val="9"/>
      <name val="Calibri"/>
      <family val="2"/>
      <scheme val="minor"/>
    </font>
    <font>
      <u val="singleAccounting"/>
      <sz val="8"/>
      <name val="Calibri"/>
      <family val="2"/>
      <scheme val="minor"/>
    </font>
    <font>
      <sz val="9"/>
      <color indexed="23"/>
      <name val="Calibri"/>
      <family val="2"/>
      <scheme val="minor"/>
    </font>
    <font>
      <b/>
      <sz val="16"/>
      <name val="Tahoma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Arial Narrow"/>
      <family val="2"/>
    </font>
    <font>
      <sz val="9"/>
      <color indexed="8"/>
      <name val="Calibri"/>
      <family val="2"/>
      <scheme val="minor"/>
    </font>
    <font>
      <i/>
      <sz val="8"/>
      <name val="Arial"/>
      <family val="2"/>
    </font>
    <font>
      <b/>
      <sz val="9"/>
      <name val="Univers Condensed (PCL6)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b/>
      <sz val="11"/>
      <name val="Tahoma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Verdana"/>
      <family val="2"/>
    </font>
    <font>
      <b/>
      <sz val="14"/>
      <color indexed="8"/>
      <name val="Arial Narrow"/>
      <family val="2"/>
    </font>
    <font>
      <b/>
      <sz val="18"/>
      <color indexed="17"/>
      <name val="Webdings"/>
      <family val="1"/>
      <charset val="2"/>
    </font>
    <font>
      <sz val="8"/>
      <color rgb="FF0066FF"/>
      <name val="Arial"/>
      <family val="2"/>
    </font>
    <font>
      <b/>
      <sz val="10"/>
      <color indexed="8"/>
      <name val="Arial"/>
      <family val="2"/>
    </font>
    <font>
      <b/>
      <sz val="9"/>
      <name val="Arial Narrow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u val="singleAccounting"/>
      <sz val="8"/>
      <name val="Arial Narrow"/>
      <family val="2"/>
    </font>
    <font>
      <b/>
      <u val="singleAccounting"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sz val="9"/>
      <color indexed="23"/>
      <name val="Calibri"/>
      <family val="2"/>
    </font>
    <font>
      <sz val="10"/>
      <color indexed="8"/>
      <name val="Calibri"/>
      <family val="2"/>
    </font>
    <font>
      <sz val="8"/>
      <name val="Arial Rounded MT Bold"/>
      <family val="2"/>
    </font>
    <font>
      <b/>
      <sz val="8"/>
      <name val="Tahoma"/>
      <family val="2"/>
    </font>
    <font>
      <b/>
      <sz val="10"/>
      <color rgb="FF008000"/>
      <name val="Calibri"/>
      <family val="2"/>
      <scheme val="minor"/>
    </font>
    <font>
      <sz val="11"/>
      <color indexed="17"/>
      <name val="Calibri"/>
      <family val="2"/>
    </font>
    <font>
      <b/>
      <sz val="9"/>
      <name val="Verdana"/>
      <family val="2"/>
    </font>
    <font>
      <sz val="10"/>
      <color indexed="8"/>
      <name val="Verdana"/>
      <family val="2"/>
    </font>
    <font>
      <sz val="14"/>
      <color indexed="12"/>
      <name val="Arial Rounded MT Bold"/>
      <family val="2"/>
    </font>
    <font>
      <b/>
      <sz val="14"/>
      <color indexed="17"/>
      <name val="Verdana"/>
      <family val="2"/>
    </font>
    <font>
      <b/>
      <sz val="10"/>
      <color indexed="16"/>
      <name val="Arial Narrow"/>
      <family val="2"/>
    </font>
    <font>
      <b/>
      <sz val="9"/>
      <color indexed="17"/>
      <name val="Arial"/>
      <family val="2"/>
    </font>
    <font>
      <b/>
      <sz val="9"/>
      <color indexed="12"/>
      <name val="Arial"/>
      <family val="2"/>
    </font>
    <font>
      <b/>
      <sz val="11"/>
      <color indexed="17"/>
      <name val="Calibri"/>
      <family val="2"/>
    </font>
    <font>
      <sz val="8"/>
      <name val="Calibri"/>
      <family val="2"/>
    </font>
    <font>
      <sz val="9"/>
      <color indexed="12"/>
      <name val="Calibri"/>
      <family val="2"/>
    </font>
    <font>
      <b/>
      <sz val="9"/>
      <color indexed="17"/>
      <name val="Calibri"/>
      <family val="2"/>
    </font>
    <font>
      <sz val="9"/>
      <color indexed="55"/>
      <name val="Calibri"/>
      <family val="2"/>
    </font>
    <font>
      <sz val="9"/>
      <color indexed="55"/>
      <name val="Arial"/>
      <family val="2"/>
    </font>
    <font>
      <i/>
      <sz val="9"/>
      <name val="Calibri"/>
      <family val="2"/>
    </font>
    <font>
      <i/>
      <sz val="10"/>
      <name val="Calibri"/>
      <family val="2"/>
    </font>
    <font>
      <i/>
      <sz val="9"/>
      <name val="Tahoma"/>
      <family val="2"/>
    </font>
    <font>
      <b/>
      <i/>
      <sz val="10"/>
      <color indexed="12"/>
      <name val="Calibri"/>
      <family val="2"/>
      <scheme val="minor"/>
    </font>
    <font>
      <sz val="9"/>
      <color indexed="12"/>
      <name val="Arial"/>
      <family val="2"/>
    </font>
    <font>
      <b/>
      <i/>
      <sz val="10"/>
      <name val="Wingdings 3"/>
      <family val="1"/>
      <charset val="2"/>
    </font>
    <font>
      <b/>
      <u/>
      <sz val="9"/>
      <name val="Arial"/>
      <family val="2"/>
    </font>
    <font>
      <b/>
      <sz val="11"/>
      <name val="Verdana"/>
      <family val="2"/>
    </font>
    <font>
      <b/>
      <i/>
      <sz val="10"/>
      <name val="Calibri"/>
      <family val="2"/>
      <scheme val="minor"/>
    </font>
    <font>
      <b/>
      <sz val="9"/>
      <name val="Calibri"/>
      <family val="2"/>
    </font>
    <font>
      <b/>
      <sz val="9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name val="Calibri"/>
      <family val="2"/>
    </font>
    <font>
      <sz val="10"/>
      <color indexed="23"/>
      <name val="Arial Narrow"/>
      <family val="2"/>
    </font>
    <font>
      <b/>
      <i/>
      <sz val="8"/>
      <color rgb="FFFF0000"/>
      <name val="Calibri"/>
      <family val="2"/>
      <scheme val="minor"/>
    </font>
    <font>
      <b/>
      <i/>
      <sz val="9"/>
      <color indexed="8"/>
      <name val="Tahoma"/>
      <family val="2"/>
    </font>
    <font>
      <b/>
      <i/>
      <sz val="11"/>
      <color indexed="8"/>
      <name val="Verdana"/>
      <family val="2"/>
    </font>
    <font>
      <b/>
      <sz val="14"/>
      <color theme="3" tint="-0.249977111117893"/>
      <name val="Tahoma"/>
      <family val="2"/>
    </font>
    <font>
      <b/>
      <sz val="14"/>
      <name val="Rockwell"/>
      <family val="1"/>
    </font>
    <font>
      <sz val="11"/>
      <color theme="0"/>
      <name val="Calibri"/>
      <family val="2"/>
      <scheme val="minor"/>
    </font>
    <font>
      <sz val="12"/>
      <name val="Arial Rounded MT Bold"/>
      <family val="2"/>
    </font>
    <font>
      <sz val="14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2"/>
      <color theme="7" tint="-0.499984740745262"/>
      <name val="Verdana"/>
      <family val="2"/>
    </font>
    <font>
      <b/>
      <sz val="12"/>
      <color theme="6" tint="-0.499984740745262"/>
      <name val="Calibri"/>
      <family val="2"/>
      <scheme val="minor"/>
    </font>
    <font>
      <sz val="10"/>
      <name val="Arial Rounded MT Bold"/>
      <family val="2"/>
    </font>
    <font>
      <b/>
      <sz val="8"/>
      <name val="Arial Rounded MT Bold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color rgb="FF0000FF"/>
      <name val="Verdana"/>
      <family val="2"/>
    </font>
    <font>
      <sz val="9"/>
      <name val="Arial Rounded MT Bold"/>
      <family val="2"/>
    </font>
    <font>
      <sz val="10"/>
      <name val="Arial Narrow"/>
      <family val="2"/>
    </font>
    <font>
      <b/>
      <sz val="12"/>
      <name val="Arial Rounded MT Bold"/>
      <family val="2"/>
    </font>
    <font>
      <b/>
      <sz val="12"/>
      <color theme="6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-0.249977111117893"/>
      <name val="Tahoma"/>
      <family val="2"/>
    </font>
    <font>
      <b/>
      <sz val="16"/>
      <color indexed="16"/>
      <name val="Tahoma"/>
      <family val="2"/>
    </font>
    <font>
      <b/>
      <sz val="18"/>
      <color indexed="16"/>
      <name val="Tahoma"/>
      <family val="2"/>
    </font>
    <font>
      <b/>
      <sz val="11"/>
      <color theme="3" tint="-0.249977111117893"/>
      <name val="Tahoma"/>
      <family val="2"/>
    </font>
    <font>
      <b/>
      <sz val="14"/>
      <name val="Tahoma"/>
      <family val="2"/>
    </font>
    <font>
      <b/>
      <sz val="12"/>
      <color indexed="9"/>
      <name val="Tahoma"/>
      <family val="2"/>
    </font>
    <font>
      <b/>
      <sz val="8"/>
      <name val="Century Gothic"/>
      <family val="2"/>
    </font>
    <font>
      <sz val="11"/>
      <color rgb="FF9C0006"/>
      <name val="Calibri"/>
      <family val="2"/>
    </font>
    <font>
      <b/>
      <sz val="14"/>
      <name val="Cambria"/>
      <family val="1"/>
      <scheme val="major"/>
    </font>
    <font>
      <b/>
      <sz val="10"/>
      <color indexed="17"/>
      <name val="Verdana"/>
      <family val="2"/>
    </font>
    <font>
      <b/>
      <sz val="10"/>
      <color rgb="FF9C0006"/>
      <name val="Verdana"/>
      <family val="2"/>
    </font>
    <font>
      <b/>
      <i/>
      <sz val="8"/>
      <color rgb="FFFF0000"/>
      <name val="Verdana"/>
      <family val="2"/>
    </font>
    <font>
      <b/>
      <u/>
      <sz val="8"/>
      <name val="Calibri"/>
      <family val="2"/>
      <scheme val="minor"/>
    </font>
    <font>
      <b/>
      <sz val="14"/>
      <color indexed="12"/>
      <name val="Tahoma"/>
      <family val="2"/>
    </font>
    <font>
      <b/>
      <i/>
      <sz val="14"/>
      <color indexed="12"/>
      <name val="Tahoma"/>
      <family val="2"/>
    </font>
    <font>
      <b/>
      <sz val="16"/>
      <name val="Constantia"/>
      <family val="1"/>
    </font>
    <font>
      <b/>
      <sz val="11"/>
      <color indexed="10"/>
      <name val="Arial Narrow"/>
      <family val="2"/>
    </font>
    <font>
      <b/>
      <sz val="12"/>
      <color rgb="FF0000FF"/>
      <name val="Tahoma"/>
      <family val="2"/>
    </font>
    <font>
      <b/>
      <sz val="12"/>
      <name val="Arial Rounded MT Bold"/>
      <family val="2"/>
    </font>
    <font>
      <sz val="10"/>
      <name val="Euphemia"/>
      <family val="2"/>
    </font>
    <font>
      <b/>
      <sz val="10"/>
      <name val="Tahoma"/>
      <family val="2"/>
    </font>
    <font>
      <sz val="9"/>
      <name val="Wingdings 3"/>
      <family val="1"/>
      <charset val="2"/>
    </font>
    <font>
      <b/>
      <sz val="8"/>
      <color indexed="8"/>
      <name val="Arial Narrow"/>
      <family val="2"/>
    </font>
    <font>
      <sz val="8"/>
      <color indexed="8"/>
      <name val="Calibri"/>
      <family val="2"/>
    </font>
    <font>
      <b/>
      <sz val="9"/>
      <color indexed="16"/>
      <name val="Arial Rounded MT Bold"/>
      <family val="2"/>
    </font>
    <font>
      <b/>
      <i/>
      <sz val="10"/>
      <color indexed="8"/>
      <name val="Tahoma"/>
      <family val="2"/>
    </font>
    <font>
      <b/>
      <i/>
      <sz val="10"/>
      <color indexed="8"/>
      <name val="Arial"/>
      <family val="2"/>
    </font>
    <font>
      <b/>
      <sz val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46"/>
      </patternFill>
    </fill>
    <fill>
      <patternFill patternType="solid">
        <fgColor indexed="43"/>
        <bgColor indexed="64"/>
      </patternFill>
    </fill>
    <fill>
      <patternFill patternType="lightDown">
        <f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2"/>
        <bgColor indexed="64"/>
      </patternFill>
    </fill>
    <fill>
      <patternFill patternType="lightVertical">
        <f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lightDown">
        <fgColor indexed="51"/>
      </patternFill>
    </fill>
    <fill>
      <patternFill patternType="lightUp">
        <fgColor theme="6" tint="-0.24994659260841701"/>
        <bgColor indexed="65"/>
      </patternFill>
    </fill>
    <fill>
      <patternFill patternType="lightVertical">
        <fgColor rgb="FF92D050"/>
        <bgColor theme="0"/>
      </patternFill>
    </fill>
    <fill>
      <patternFill patternType="lightVertical">
        <fgColor indexed="50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theme="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id">
        <fgColor indexed="46"/>
      </patternFill>
    </fill>
    <fill>
      <patternFill patternType="solid">
        <fgColor theme="4"/>
      </patternFill>
    </fill>
    <fill>
      <patternFill patternType="solid">
        <fgColor rgb="FFFFC7CE"/>
      </patternFill>
    </fill>
    <fill>
      <patternFill patternType="solid">
        <fgColor rgb="FFFFE5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44"/>
      </patternFill>
    </fill>
    <fill>
      <patternFill patternType="solid">
        <fgColor rgb="FFFF0000"/>
        <bgColor indexed="64"/>
      </patternFill>
    </fill>
    <fill>
      <patternFill patternType="lightUp">
        <fgColor indexed="51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/>
      <bottom style="double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double">
        <color indexed="64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/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/>
      <bottom/>
      <diagonal/>
    </border>
    <border>
      <left style="thin">
        <color indexed="64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64"/>
      </bottom>
      <diagonal/>
    </border>
    <border>
      <left style="hair">
        <color indexed="55"/>
      </left>
      <right/>
      <top style="hair">
        <color indexed="55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64"/>
      </right>
      <top style="hair">
        <color indexed="55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5"/>
      </left>
      <right style="double">
        <color indexed="64"/>
      </right>
      <top/>
      <bottom style="hair">
        <color indexed="55"/>
      </bottom>
      <diagonal/>
    </border>
    <border>
      <left/>
      <right style="hair">
        <color indexed="55"/>
      </right>
      <top style="thin">
        <color indexed="64"/>
      </top>
      <bottom style="hair">
        <color indexed="55"/>
      </bottom>
      <diagonal/>
    </border>
    <border>
      <left style="hair">
        <color indexed="55"/>
      </left>
      <right/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 style="hair">
        <color indexed="55"/>
      </left>
      <right/>
      <top style="thin">
        <color indexed="64"/>
      </top>
      <bottom style="hair">
        <color indexed="55"/>
      </bottom>
      <diagonal/>
    </border>
    <border>
      <left/>
      <right/>
      <top style="thin">
        <color indexed="64"/>
      </top>
      <bottom style="hair">
        <color indexed="55"/>
      </bottom>
      <diagonal/>
    </border>
    <border>
      <left style="thin">
        <color indexed="64"/>
      </left>
      <right style="hair">
        <color indexed="55"/>
      </right>
      <top/>
      <bottom/>
      <diagonal/>
    </border>
    <border>
      <left style="hair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/>
      <top style="hair">
        <color indexed="55"/>
      </top>
      <bottom/>
      <diagonal/>
    </border>
  </borders>
  <cellStyleXfs count="17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/>
    <xf numFmtId="16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6" fillId="16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8" fillId="21" borderId="0" applyNumberFormat="0" applyBorder="0" applyAlignment="0" applyProtection="0"/>
    <xf numFmtId="0" fontId="87" fillId="22" borderId="0" applyNumberFormat="0" applyBorder="0" applyAlignment="0" applyProtection="0"/>
    <xf numFmtId="0" fontId="141" fillId="29" borderId="0" applyNumberFormat="0" applyBorder="0" applyAlignment="0" applyProtection="0"/>
    <xf numFmtId="0" fontId="166" fillId="30" borderId="0" applyNumberFormat="0" applyBorder="0" applyAlignment="0" applyProtection="0"/>
  </cellStyleXfs>
  <cellXfs count="761">
    <xf numFmtId="0" fontId="0" fillId="0" borderId="0" xfId="0"/>
    <xf numFmtId="0" fontId="4" fillId="0" borderId="0" xfId="6" applyFont="1"/>
    <xf numFmtId="2" fontId="6" fillId="0" borderId="0" xfId="6" applyNumberFormat="1" applyFont="1" applyAlignment="1">
      <alignment horizontal="center"/>
    </xf>
    <xf numFmtId="2" fontId="4" fillId="0" borderId="0" xfId="6" applyNumberFormat="1" applyFont="1"/>
    <xf numFmtId="10" fontId="8" fillId="0" borderId="0" xfId="7" applyNumberFormat="1" applyFont="1" applyAlignment="1">
      <alignment horizontal="center"/>
    </xf>
    <xf numFmtId="15" fontId="8" fillId="0" borderId="0" xfId="6" applyNumberFormat="1" applyFont="1" applyAlignment="1">
      <alignment horizontal="center"/>
    </xf>
    <xf numFmtId="170" fontId="9" fillId="0" borderId="0" xfId="6" applyNumberFormat="1" applyFont="1" applyAlignment="1">
      <alignment horizontal="left"/>
    </xf>
    <xf numFmtId="0" fontId="11" fillId="0" borderId="0" xfId="6" applyFont="1" applyAlignment="1">
      <alignment horizontal="right"/>
    </xf>
    <xf numFmtId="0" fontId="4" fillId="0" borderId="2" xfId="6" applyFont="1" applyBorder="1" applyAlignment="1">
      <alignment horizontal="center"/>
    </xf>
    <xf numFmtId="0" fontId="4" fillId="0" borderId="0" xfId="6" applyFont="1" applyAlignment="1">
      <alignment horizontal="center"/>
    </xf>
    <xf numFmtId="174" fontId="15" fillId="4" borderId="3" xfId="6" applyNumberFormat="1" applyFont="1" applyFill="1" applyBorder="1" applyAlignment="1">
      <alignment horizontal="center"/>
    </xf>
    <xf numFmtId="173" fontId="16" fillId="0" borderId="4" xfId="6" applyNumberFormat="1" applyFont="1" applyBorder="1"/>
    <xf numFmtId="0" fontId="17" fillId="0" borderId="5" xfId="6" applyFont="1" applyBorder="1"/>
    <xf numFmtId="166" fontId="4" fillId="0" borderId="3" xfId="2" applyFont="1" applyBorder="1"/>
    <xf numFmtId="0" fontId="18" fillId="0" borderId="0" xfId="0" applyFont="1"/>
    <xf numFmtId="0" fontId="4" fillId="0" borderId="4" xfId="6" applyFont="1" applyBorder="1"/>
    <xf numFmtId="16" fontId="16" fillId="0" borderId="3" xfId="6" applyNumberFormat="1" applyFont="1" applyBorder="1"/>
    <xf numFmtId="0" fontId="4" fillId="0" borderId="3" xfId="6" applyFont="1" applyBorder="1"/>
    <xf numFmtId="164" fontId="16" fillId="0" borderId="4" xfId="6" applyNumberFormat="1" applyFont="1" applyBorder="1"/>
    <xf numFmtId="176" fontId="4" fillId="0" borderId="4" xfId="1" applyNumberFormat="1" applyFont="1" applyBorder="1"/>
    <xf numFmtId="164" fontId="16" fillId="0" borderId="6" xfId="6" applyNumberFormat="1" applyFont="1" applyBorder="1"/>
    <xf numFmtId="167" fontId="4" fillId="0" borderId="3" xfId="1" applyFont="1" applyBorder="1"/>
    <xf numFmtId="172" fontId="4" fillId="0" borderId="4" xfId="1" applyNumberFormat="1" applyFont="1" applyBorder="1"/>
    <xf numFmtId="16" fontId="16" fillId="0" borderId="4" xfId="6" applyNumberFormat="1" applyFont="1" applyBorder="1"/>
    <xf numFmtId="0" fontId="15" fillId="4" borderId="4" xfId="6" applyFont="1" applyFill="1" applyBorder="1" applyAlignment="1">
      <alignment horizontal="center"/>
    </xf>
    <xf numFmtId="173" fontId="15" fillId="0" borderId="4" xfId="2" applyNumberFormat="1" applyFont="1" applyBorder="1" applyAlignment="1">
      <alignment horizontal="center"/>
    </xf>
    <xf numFmtId="0" fontId="15" fillId="4" borderId="3" xfId="6" applyFont="1" applyFill="1" applyBorder="1" applyAlignment="1">
      <alignment horizontal="center"/>
    </xf>
    <xf numFmtId="16" fontId="22" fillId="3" borderId="8" xfId="6" applyNumberFormat="1" applyFont="1" applyFill="1" applyBorder="1" applyAlignment="1">
      <alignment horizontal="left"/>
    </xf>
    <xf numFmtId="0" fontId="15" fillId="4" borderId="8" xfId="6" applyFont="1" applyFill="1" applyBorder="1" applyAlignment="1">
      <alignment horizontal="center"/>
    </xf>
    <xf numFmtId="167" fontId="11" fillId="0" borderId="9" xfId="1" applyFont="1" applyBorder="1"/>
    <xf numFmtId="173" fontId="15" fillId="0" borderId="3" xfId="2" applyNumberFormat="1" applyFont="1" applyBorder="1" applyAlignment="1">
      <alignment horizontal="center"/>
    </xf>
    <xf numFmtId="0" fontId="4" fillId="0" borderId="10" xfId="6" applyFont="1" applyBorder="1"/>
    <xf numFmtId="16" fontId="13" fillId="5" borderId="4" xfId="6" applyNumberFormat="1" applyFont="1" applyFill="1" applyBorder="1"/>
    <xf numFmtId="167" fontId="4" fillId="0" borderId="4" xfId="1" applyFont="1" applyBorder="1"/>
    <xf numFmtId="10" fontId="23" fillId="0" borderId="4" xfId="6" applyNumberFormat="1" applyFont="1" applyBorder="1"/>
    <xf numFmtId="173" fontId="24" fillId="0" borderId="4" xfId="2" applyNumberFormat="1" applyFont="1" applyBorder="1" applyAlignment="1">
      <alignment horizontal="center"/>
    </xf>
    <xf numFmtId="167" fontId="11" fillId="0" borderId="4" xfId="1" applyFont="1" applyBorder="1"/>
    <xf numFmtId="173" fontId="24" fillId="0" borderId="3" xfId="2" applyNumberFormat="1" applyFont="1" applyBorder="1" applyAlignment="1">
      <alignment horizontal="center"/>
    </xf>
    <xf numFmtId="173" fontId="24" fillId="0" borderId="8" xfId="2" applyNumberFormat="1" applyFont="1" applyBorder="1" applyAlignment="1">
      <alignment horizontal="center"/>
    </xf>
    <xf numFmtId="167" fontId="16" fillId="0" borderId="9" xfId="1" applyFont="1" applyBorder="1" applyAlignment="1">
      <alignment vertical="center"/>
    </xf>
    <xf numFmtId="0" fontId="4" fillId="0" borderId="9" xfId="6" applyFont="1" applyBorder="1"/>
    <xf numFmtId="16" fontId="25" fillId="0" borderId="13" xfId="6" applyNumberFormat="1" applyFont="1" applyBorder="1"/>
    <xf numFmtId="174" fontId="15" fillId="4" borderId="13" xfId="6" applyNumberFormat="1" applyFont="1" applyFill="1" applyBorder="1" applyAlignment="1">
      <alignment horizontal="center"/>
    </xf>
    <xf numFmtId="174" fontId="15" fillId="0" borderId="13" xfId="6" applyNumberFormat="1" applyFont="1" applyBorder="1" applyAlignment="1">
      <alignment horizontal="center"/>
    </xf>
    <xf numFmtId="164" fontId="16" fillId="0" borderId="14" xfId="6" applyNumberFormat="1" applyFont="1" applyBorder="1"/>
    <xf numFmtId="164" fontId="16" fillId="0" borderId="13" xfId="6" applyNumberFormat="1" applyFont="1" applyBorder="1"/>
    <xf numFmtId="167" fontId="4" fillId="0" borderId="14" xfId="1" applyFont="1" applyBorder="1"/>
    <xf numFmtId="172" fontId="4" fillId="0" borderId="14" xfId="1" applyNumberFormat="1" applyFont="1" applyBorder="1"/>
    <xf numFmtId="176" fontId="23" fillId="0" borderId="13" xfId="1" applyNumberFormat="1" applyFont="1" applyBorder="1"/>
    <xf numFmtId="10" fontId="23" fillId="0" borderId="14" xfId="6" applyNumberFormat="1" applyFont="1" applyBorder="1"/>
    <xf numFmtId="16" fontId="25" fillId="0" borderId="3" xfId="6" applyNumberFormat="1" applyFont="1" applyBorder="1"/>
    <xf numFmtId="174" fontId="15" fillId="0" borderId="3" xfId="6" applyNumberFormat="1" applyFont="1" applyBorder="1" applyAlignment="1">
      <alignment horizontal="center"/>
    </xf>
    <xf numFmtId="164" fontId="16" fillId="0" borderId="3" xfId="6" applyNumberFormat="1" applyFont="1" applyBorder="1"/>
    <xf numFmtId="172" fontId="4" fillId="0" borderId="3" xfId="1" applyNumberFormat="1" applyFont="1" applyBorder="1"/>
    <xf numFmtId="167" fontId="16" fillId="0" borderId="4" xfId="1" applyFont="1" applyBorder="1"/>
    <xf numFmtId="171" fontId="4" fillId="0" borderId="4" xfId="7" applyNumberFormat="1" applyFont="1" applyBorder="1" applyAlignment="1">
      <alignment horizontal="center"/>
    </xf>
    <xf numFmtId="180" fontId="4" fillId="0" borderId="4" xfId="6" applyNumberFormat="1" applyFont="1" applyBorder="1"/>
    <xf numFmtId="184" fontId="26" fillId="0" borderId="4" xfId="2" applyNumberFormat="1" applyFont="1" applyBorder="1"/>
    <xf numFmtId="181" fontId="26" fillId="0" borderId="4" xfId="2" applyNumberFormat="1" applyFont="1" applyBorder="1"/>
    <xf numFmtId="164" fontId="14" fillId="0" borderId="12" xfId="6" applyNumberFormat="1" applyFont="1" applyBorder="1" applyAlignment="1">
      <alignment vertical="center"/>
    </xf>
    <xf numFmtId="167" fontId="16" fillId="0" borderId="9" xfId="1" applyFont="1" applyBorder="1"/>
    <xf numFmtId="179" fontId="15" fillId="4" borderId="3" xfId="6" applyNumberFormat="1" applyFont="1" applyFill="1" applyBorder="1" applyAlignment="1">
      <alignment horizontal="center"/>
    </xf>
    <xf numFmtId="0" fontId="27" fillId="0" borderId="4" xfId="6" applyFont="1" applyBorder="1"/>
    <xf numFmtId="167" fontId="28" fillId="0" borderId="4" xfId="1" applyFont="1" applyBorder="1"/>
    <xf numFmtId="0" fontId="29" fillId="0" borderId="4" xfId="6" applyFont="1" applyBorder="1"/>
    <xf numFmtId="166" fontId="26" fillId="0" borderId="4" xfId="2" applyFont="1" applyBorder="1"/>
    <xf numFmtId="173" fontId="26" fillId="0" borderId="4" xfId="2" applyNumberFormat="1" applyFont="1" applyBorder="1"/>
    <xf numFmtId="167" fontId="26" fillId="0" borderId="4" xfId="1" applyFont="1" applyBorder="1"/>
    <xf numFmtId="166" fontId="30" fillId="0" borderId="4" xfId="2" applyFont="1" applyBorder="1"/>
    <xf numFmtId="166" fontId="26" fillId="0" borderId="4" xfId="2" applyFont="1" applyBorder="1" applyAlignment="1">
      <alignment horizontal="right"/>
    </xf>
    <xf numFmtId="166" fontId="4" fillId="0" borderId="4" xfId="6" applyNumberFormat="1" applyFont="1" applyBorder="1"/>
    <xf numFmtId="166" fontId="31" fillId="0" borderId="4" xfId="2" applyFont="1" applyBorder="1"/>
    <xf numFmtId="16" fontId="32" fillId="0" borderId="4" xfId="6" applyNumberFormat="1" applyFont="1" applyBorder="1" applyAlignment="1">
      <alignment vertical="center"/>
    </xf>
    <xf numFmtId="164" fontId="19" fillId="0" borderId="3" xfId="6" applyNumberFormat="1" applyFont="1" applyBorder="1"/>
    <xf numFmtId="167" fontId="16" fillId="0" borderId="3" xfId="1" applyFont="1" applyBorder="1"/>
    <xf numFmtId="166" fontId="4" fillId="0" borderId="4" xfId="2" applyFont="1" applyBorder="1"/>
    <xf numFmtId="167" fontId="16" fillId="0" borderId="10" xfId="1" applyFont="1" applyBorder="1"/>
    <xf numFmtId="172" fontId="5" fillId="0" borderId="15" xfId="1" applyNumberFormat="1" applyFont="1" applyBorder="1" applyAlignment="1">
      <alignment horizontal="right"/>
    </xf>
    <xf numFmtId="0" fontId="15" fillId="4" borderId="16" xfId="6" applyFont="1" applyFill="1" applyBorder="1" applyAlignment="1">
      <alignment horizontal="center"/>
    </xf>
    <xf numFmtId="174" fontId="24" fillId="4" borderId="3" xfId="6" applyNumberFormat="1" applyFont="1" applyFill="1" applyBorder="1" applyAlignment="1">
      <alignment horizontal="center"/>
    </xf>
    <xf numFmtId="9" fontId="15" fillId="4" borderId="3" xfId="6" applyNumberFormat="1" applyFont="1" applyFill="1" applyBorder="1" applyAlignment="1">
      <alignment horizontal="right"/>
    </xf>
    <xf numFmtId="10" fontId="24" fillId="4" borderId="3" xfId="7" applyNumberFormat="1" applyFont="1" applyFill="1" applyBorder="1" applyAlignment="1">
      <alignment horizontal="center"/>
    </xf>
    <xf numFmtId="164" fontId="16" fillId="0" borderId="4" xfId="1" applyNumberFormat="1" applyFont="1" applyBorder="1"/>
    <xf numFmtId="0" fontId="15" fillId="4" borderId="3" xfId="6" applyFont="1" applyFill="1" applyBorder="1" applyAlignment="1">
      <alignment horizontal="right"/>
    </xf>
    <xf numFmtId="173" fontId="14" fillId="8" borderId="19" xfId="2" applyNumberFormat="1" applyFont="1" applyFill="1" applyBorder="1" applyAlignment="1">
      <alignment vertical="center"/>
    </xf>
    <xf numFmtId="173" fontId="16" fillId="0" borderId="7" xfId="1" applyNumberFormat="1" applyFont="1" applyBorder="1"/>
    <xf numFmtId="164" fontId="16" fillId="0" borderId="9" xfId="1" applyNumberFormat="1" applyFont="1" applyBorder="1"/>
    <xf numFmtId="16" fontId="33" fillId="9" borderId="3" xfId="6" applyNumberFormat="1" applyFont="1" applyFill="1" applyBorder="1"/>
    <xf numFmtId="15" fontId="4" fillId="0" borderId="4" xfId="6" applyNumberFormat="1" applyFont="1" applyBorder="1"/>
    <xf numFmtId="0" fontId="15" fillId="4" borderId="4" xfId="6" applyFont="1" applyFill="1" applyBorder="1" applyAlignment="1">
      <alignment horizontal="right"/>
    </xf>
    <xf numFmtId="175" fontId="16" fillId="0" borderId="4" xfId="6" applyNumberFormat="1" applyFont="1" applyBorder="1"/>
    <xf numFmtId="173" fontId="34" fillId="0" borderId="4" xfId="2" applyNumberFormat="1" applyFont="1" applyBorder="1" applyAlignment="1">
      <alignment horizontal="right"/>
    </xf>
    <xf numFmtId="0" fontId="35" fillId="0" borderId="0" xfId="6" applyFont="1"/>
    <xf numFmtId="167" fontId="4" fillId="0" borderId="0" xfId="1" applyFont="1"/>
    <xf numFmtId="178" fontId="4" fillId="0" borderId="0" xfId="1" applyNumberFormat="1" applyFont="1"/>
    <xf numFmtId="178" fontId="4" fillId="0" borderId="0" xfId="6" applyNumberFormat="1" applyFont="1"/>
    <xf numFmtId="0" fontId="4" fillId="2" borderId="0" xfId="6" applyFont="1" applyFill="1"/>
    <xf numFmtId="9" fontId="36" fillId="4" borderId="4" xfId="6" applyNumberFormat="1" applyFont="1" applyFill="1" applyBorder="1"/>
    <xf numFmtId="174" fontId="15" fillId="4" borderId="4" xfId="6" applyNumberFormat="1" applyFont="1" applyFill="1" applyBorder="1" applyAlignment="1">
      <alignment horizontal="center"/>
    </xf>
    <xf numFmtId="173" fontId="15" fillId="4" borderId="4" xfId="2" applyNumberFormat="1" applyFont="1" applyFill="1" applyBorder="1" applyAlignment="1">
      <alignment horizontal="center"/>
    </xf>
    <xf numFmtId="164" fontId="14" fillId="0" borderId="1" xfId="6" applyNumberFormat="1" applyFont="1" applyBorder="1"/>
    <xf numFmtId="9" fontId="38" fillId="4" borderId="4" xfId="6" applyNumberFormat="1" applyFont="1" applyFill="1" applyBorder="1"/>
    <xf numFmtId="9" fontId="37" fillId="4" borderId="4" xfId="6" applyNumberFormat="1" applyFont="1" applyFill="1" applyBorder="1" applyAlignment="1">
      <alignment horizontal="center"/>
    </xf>
    <xf numFmtId="166" fontId="21" fillId="0" borderId="4" xfId="2" applyFont="1" applyBorder="1"/>
    <xf numFmtId="173" fontId="40" fillId="0" borderId="8" xfId="2" applyNumberFormat="1" applyFont="1" applyBorder="1" applyAlignment="1">
      <alignment horizontal="center"/>
    </xf>
    <xf numFmtId="173" fontId="24" fillId="0" borderId="11" xfId="2" applyNumberFormat="1" applyFont="1" applyBorder="1" applyAlignment="1">
      <alignment horizontal="center"/>
    </xf>
    <xf numFmtId="173" fontId="41" fillId="0" borderId="4" xfId="2" applyNumberFormat="1" applyFont="1" applyBorder="1" applyAlignment="1">
      <alignment horizontal="center"/>
    </xf>
    <xf numFmtId="173" fontId="14" fillId="8" borderId="12" xfId="2" applyNumberFormat="1" applyFont="1" applyFill="1" applyBorder="1" applyAlignment="1">
      <alignment vertical="center"/>
    </xf>
    <xf numFmtId="2" fontId="43" fillId="0" borderId="0" xfId="6" applyNumberFormat="1" applyFont="1" applyAlignment="1">
      <alignment horizontal="center"/>
    </xf>
    <xf numFmtId="171" fontId="45" fillId="0" borderId="0" xfId="7" applyNumberFormat="1" applyFont="1" applyAlignment="1">
      <alignment horizontal="center"/>
    </xf>
    <xf numFmtId="0" fontId="47" fillId="0" borderId="0" xfId="6" applyFont="1" applyAlignment="1">
      <alignment horizontal="center" vertical="center"/>
    </xf>
    <xf numFmtId="0" fontId="54" fillId="0" borderId="4" xfId="6" applyFont="1" applyBorder="1"/>
    <xf numFmtId="164" fontId="14" fillId="13" borderId="4" xfId="6" applyNumberFormat="1" applyFont="1" applyFill="1" applyBorder="1"/>
    <xf numFmtId="16" fontId="49" fillId="0" borderId="4" xfId="6" applyNumberFormat="1" applyFont="1" applyBorder="1"/>
    <xf numFmtId="10" fontId="49" fillId="0" borderId="0" xfId="7" applyNumberFormat="1" applyFont="1" applyAlignment="1">
      <alignment horizontal="center"/>
    </xf>
    <xf numFmtId="0" fontId="60" fillId="15" borderId="1" xfId="6" applyFont="1" applyFill="1" applyBorder="1" applyAlignment="1">
      <alignment horizontal="center"/>
    </xf>
    <xf numFmtId="185" fontId="49" fillId="0" borderId="4" xfId="1" applyNumberFormat="1" applyFont="1" applyBorder="1" applyAlignment="1">
      <alignment horizontal="center"/>
    </xf>
    <xf numFmtId="0" fontId="49" fillId="0" borderId="4" xfId="6" applyFont="1" applyBorder="1"/>
    <xf numFmtId="164" fontId="52" fillId="0" borderId="12" xfId="6" applyNumberFormat="1" applyFont="1" applyBorder="1" applyAlignment="1">
      <alignment vertical="center"/>
    </xf>
    <xf numFmtId="164" fontId="50" fillId="0" borderId="4" xfId="6" applyNumberFormat="1" applyFont="1" applyBorder="1"/>
    <xf numFmtId="173" fontId="62" fillId="0" borderId="4" xfId="2" applyNumberFormat="1" applyFont="1" applyBorder="1" applyAlignment="1">
      <alignment horizontal="center"/>
    </xf>
    <xf numFmtId="164" fontId="49" fillId="6" borderId="4" xfId="6" applyNumberFormat="1" applyFont="1" applyFill="1" applyBorder="1"/>
    <xf numFmtId="173" fontId="63" fillId="0" borderId="4" xfId="2" applyNumberFormat="1" applyFont="1" applyBorder="1" applyAlignment="1">
      <alignment horizontal="center"/>
    </xf>
    <xf numFmtId="173" fontId="64" fillId="12" borderId="4" xfId="2" applyNumberFormat="1" applyFont="1" applyFill="1" applyBorder="1" applyAlignment="1">
      <alignment horizontal="center" vertical="center"/>
    </xf>
    <xf numFmtId="0" fontId="65" fillId="4" borderId="4" xfId="6" applyFont="1" applyFill="1" applyBorder="1" applyAlignment="1">
      <alignment horizontal="center"/>
    </xf>
    <xf numFmtId="179" fontId="65" fillId="4" borderId="4" xfId="6" applyNumberFormat="1" applyFont="1" applyFill="1" applyBorder="1" applyAlignment="1">
      <alignment horizontal="center"/>
    </xf>
    <xf numFmtId="16" fontId="49" fillId="0" borderId="4" xfId="6" applyNumberFormat="1" applyFont="1" applyBorder="1" applyAlignment="1">
      <alignment vertical="center"/>
    </xf>
    <xf numFmtId="16" fontId="56" fillId="0" borderId="4" xfId="6" applyNumberFormat="1" applyFont="1" applyBorder="1" applyAlignment="1">
      <alignment vertical="center"/>
    </xf>
    <xf numFmtId="167" fontId="49" fillId="0" borderId="0" xfId="1" applyFont="1" applyAlignment="1">
      <alignment horizontal="center"/>
    </xf>
    <xf numFmtId="173" fontId="39" fillId="0" borderId="21" xfId="2" applyNumberFormat="1" applyFont="1" applyBorder="1" applyAlignment="1">
      <alignment horizontal="center"/>
    </xf>
    <xf numFmtId="167" fontId="68" fillId="0" borderId="2" xfId="1" applyFont="1" applyBorder="1" applyAlignment="1">
      <alignment horizontal="center"/>
    </xf>
    <xf numFmtId="173" fontId="39" fillId="0" borderId="28" xfId="2" applyNumberFormat="1" applyFont="1" applyBorder="1" applyAlignment="1">
      <alignment horizontal="center"/>
    </xf>
    <xf numFmtId="167" fontId="68" fillId="0" borderId="0" xfId="1" applyFont="1" applyAlignment="1">
      <alignment horizontal="center"/>
    </xf>
    <xf numFmtId="0" fontId="50" fillId="0" borderId="29" xfId="6" applyFont="1" applyBorder="1" applyAlignment="1">
      <alignment horizontal="center"/>
    </xf>
    <xf numFmtId="0" fontId="48" fillId="3" borderId="1" xfId="6" applyFont="1" applyFill="1" applyBorder="1" applyAlignment="1">
      <alignment horizontal="center" vertical="center"/>
    </xf>
    <xf numFmtId="0" fontId="44" fillId="3" borderId="1" xfId="6" applyFont="1" applyFill="1" applyBorder="1" applyAlignment="1">
      <alignment horizontal="center" vertical="center"/>
    </xf>
    <xf numFmtId="0" fontId="69" fillId="3" borderId="1" xfId="6" applyFont="1" applyFill="1" applyBorder="1" applyAlignment="1">
      <alignment horizontal="center" vertical="center"/>
    </xf>
    <xf numFmtId="0" fontId="70" fillId="0" borderId="4" xfId="6" applyFont="1" applyBorder="1"/>
    <xf numFmtId="173" fontId="62" fillId="0" borderId="4" xfId="2" applyNumberFormat="1" applyFont="1" applyBorder="1" applyAlignment="1">
      <alignment horizontal="center" vertical="center"/>
    </xf>
    <xf numFmtId="173" fontId="71" fillId="14" borderId="3" xfId="2" applyNumberFormat="1" applyFont="1" applyFill="1" applyBorder="1" applyAlignment="1">
      <alignment horizontal="center"/>
    </xf>
    <xf numFmtId="173" fontId="71" fillId="14" borderId="30" xfId="2" applyNumberFormat="1" applyFont="1" applyFill="1" applyBorder="1" applyAlignment="1">
      <alignment horizontal="center"/>
    </xf>
    <xf numFmtId="173" fontId="71" fillId="14" borderId="31" xfId="2" applyNumberFormat="1" applyFont="1" applyFill="1" applyBorder="1" applyAlignment="1">
      <alignment horizontal="center"/>
    </xf>
    <xf numFmtId="0" fontId="49" fillId="0" borderId="4" xfId="6" applyFont="1" applyBorder="1" applyAlignment="1">
      <alignment horizontal="center"/>
    </xf>
    <xf numFmtId="187" fontId="49" fillId="0" borderId="4" xfId="6" applyNumberFormat="1" applyFont="1" applyBorder="1" applyAlignment="1">
      <alignment horizontal="center"/>
    </xf>
    <xf numFmtId="0" fontId="49" fillId="0" borderId="9" xfId="6" applyFont="1" applyBorder="1"/>
    <xf numFmtId="0" fontId="58" fillId="4" borderId="4" xfId="6" applyFont="1" applyFill="1" applyBorder="1" applyAlignment="1">
      <alignment horizontal="center" vertical="center"/>
    </xf>
    <xf numFmtId="179" fontId="67" fillId="4" borderId="4" xfId="6" applyNumberFormat="1" applyFont="1" applyFill="1" applyBorder="1" applyAlignment="1">
      <alignment horizontal="center"/>
    </xf>
    <xf numFmtId="0" fontId="72" fillId="0" borderId="4" xfId="6" applyFont="1" applyBorder="1" applyAlignment="1">
      <alignment horizontal="center"/>
    </xf>
    <xf numFmtId="164" fontId="49" fillId="0" borderId="4" xfId="1" applyNumberFormat="1" applyFont="1" applyBorder="1"/>
    <xf numFmtId="164" fontId="49" fillId="0" borderId="9" xfId="1" applyNumberFormat="1" applyFont="1" applyBorder="1"/>
    <xf numFmtId="176" fontId="4" fillId="0" borderId="3" xfId="1" applyNumberFormat="1" applyFont="1" applyBorder="1"/>
    <xf numFmtId="164" fontId="53" fillId="0" borderId="12" xfId="6" applyNumberFormat="1" applyFont="1" applyBorder="1" applyAlignment="1">
      <alignment vertical="center"/>
    </xf>
    <xf numFmtId="164" fontId="9" fillId="0" borderId="36" xfId="6" applyNumberFormat="1" applyFont="1" applyBorder="1" applyAlignment="1">
      <alignment horizontal="right" vertical="center"/>
    </xf>
    <xf numFmtId="164" fontId="49" fillId="6" borderId="7" xfId="6" applyNumberFormat="1" applyFont="1" applyFill="1" applyBorder="1"/>
    <xf numFmtId="168" fontId="42" fillId="7" borderId="35" xfId="1" applyNumberFormat="1" applyFont="1" applyFill="1" applyBorder="1" applyAlignment="1">
      <alignment vertical="center"/>
    </xf>
    <xf numFmtId="168" fontId="42" fillId="17" borderId="35" xfId="1" applyNumberFormat="1" applyFont="1" applyFill="1" applyBorder="1" applyAlignment="1">
      <alignment vertical="center"/>
    </xf>
    <xf numFmtId="168" fontId="52" fillId="17" borderId="21" xfId="1" applyNumberFormat="1" applyFont="1" applyFill="1" applyBorder="1" applyAlignment="1">
      <alignment horizontal="center" vertical="center"/>
    </xf>
    <xf numFmtId="0" fontId="42" fillId="0" borderId="25" xfId="1" applyNumberFormat="1" applyFont="1" applyBorder="1" applyAlignment="1">
      <alignment horizontal="center"/>
    </xf>
    <xf numFmtId="0" fontId="42" fillId="0" borderId="21" xfId="1" applyNumberFormat="1" applyFont="1" applyBorder="1" applyAlignment="1">
      <alignment horizontal="center"/>
    </xf>
    <xf numFmtId="0" fontId="42" fillId="0" borderId="2" xfId="1" applyNumberFormat="1" applyFont="1" applyBorder="1" applyAlignment="1">
      <alignment horizontal="center"/>
    </xf>
    <xf numFmtId="16" fontId="50" fillId="0" borderId="3" xfId="6" applyNumberFormat="1" applyFont="1" applyBorder="1"/>
    <xf numFmtId="168" fontId="52" fillId="18" borderId="2" xfId="1" applyNumberFormat="1" applyFont="1" applyFill="1" applyBorder="1" applyAlignment="1">
      <alignment horizontal="center" vertical="center"/>
    </xf>
    <xf numFmtId="168" fontId="52" fillId="18" borderId="21" xfId="1" applyNumberFormat="1" applyFont="1" applyFill="1" applyBorder="1" applyAlignment="1">
      <alignment horizontal="center" vertical="center"/>
    </xf>
    <xf numFmtId="172" fontId="73" fillId="0" borderId="4" xfId="1" applyNumberFormat="1" applyFont="1" applyBorder="1" applyAlignment="1">
      <alignment horizontal="center"/>
    </xf>
    <xf numFmtId="186" fontId="61" fillId="0" borderId="4" xfId="2" applyNumberFormat="1" applyFont="1" applyBorder="1"/>
    <xf numFmtId="0" fontId="59" fillId="0" borderId="20" xfId="6" applyFont="1" applyBorder="1" applyAlignment="1">
      <alignment horizontal="center"/>
    </xf>
    <xf numFmtId="182" fontId="7" fillId="0" borderId="0" xfId="6" applyNumberFormat="1" applyFont="1" applyAlignment="1">
      <alignment horizontal="center" vertical="top"/>
    </xf>
    <xf numFmtId="0" fontId="4" fillId="0" borderId="6" xfId="6" applyFont="1" applyBorder="1"/>
    <xf numFmtId="0" fontId="52" fillId="0" borderId="0" xfId="6" applyFont="1"/>
    <xf numFmtId="15" fontId="52" fillId="0" borderId="0" xfId="6" applyNumberFormat="1" applyFont="1" applyAlignment="1">
      <alignment horizontal="center" vertical="center"/>
    </xf>
    <xf numFmtId="188" fontId="52" fillId="0" borderId="0" xfId="9" applyNumberFormat="1" applyFont="1" applyAlignment="1">
      <alignment horizontal="left" vertical="center"/>
    </xf>
    <xf numFmtId="184" fontId="49" fillId="0" borderId="4" xfId="1" applyNumberFormat="1" applyFont="1" applyBorder="1" applyAlignment="1">
      <alignment horizontal="center"/>
    </xf>
    <xf numFmtId="181" fontId="49" fillId="0" borderId="4" xfId="1" applyNumberFormat="1" applyFont="1" applyBorder="1" applyAlignment="1">
      <alignment horizontal="center"/>
    </xf>
    <xf numFmtId="166" fontId="53" fillId="0" borderId="4" xfId="2" applyFont="1" applyBorder="1"/>
    <xf numFmtId="0" fontId="75" fillId="0" borderId="0" xfId="6" applyFont="1" applyAlignment="1">
      <alignment horizontal="center" vertical="center"/>
    </xf>
    <xf numFmtId="0" fontId="10" fillId="3" borderId="1" xfId="6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left" vertical="center"/>
    </xf>
    <xf numFmtId="16" fontId="46" fillId="0" borderId="3" xfId="6" applyNumberFormat="1" applyFont="1" applyBorder="1"/>
    <xf numFmtId="174" fontId="76" fillId="4" borderId="3" xfId="6" applyNumberFormat="1" applyFont="1" applyFill="1" applyBorder="1" applyAlignment="1">
      <alignment horizontal="center"/>
    </xf>
    <xf numFmtId="186" fontId="52" fillId="0" borderId="3" xfId="8" applyNumberFormat="1" applyFont="1" applyFill="1" applyBorder="1" applyAlignment="1">
      <alignment horizontal="center"/>
    </xf>
    <xf numFmtId="164" fontId="77" fillId="0" borderId="4" xfId="6" applyNumberFormat="1" applyFont="1" applyBorder="1"/>
    <xf numFmtId="173" fontId="44" fillId="0" borderId="4" xfId="6" applyNumberFormat="1" applyFont="1" applyBorder="1"/>
    <xf numFmtId="16" fontId="9" fillId="0" borderId="3" xfId="6" applyNumberFormat="1" applyFont="1" applyBorder="1" applyAlignment="1">
      <alignment horizontal="right"/>
    </xf>
    <xf numFmtId="174" fontId="78" fillId="4" borderId="3" xfId="6" applyNumberFormat="1" applyFont="1" applyFill="1" applyBorder="1" applyAlignment="1">
      <alignment horizontal="center"/>
    </xf>
    <xf numFmtId="173" fontId="15" fillId="4" borderId="3" xfId="2" applyNumberFormat="1" applyFont="1" applyFill="1" applyBorder="1" applyAlignment="1">
      <alignment horizontal="center"/>
    </xf>
    <xf numFmtId="164" fontId="44" fillId="0" borderId="4" xfId="6" applyNumberFormat="1" applyFont="1" applyBorder="1"/>
    <xf numFmtId="0" fontId="49" fillId="10" borderId="7" xfId="6" applyFont="1" applyFill="1" applyBorder="1"/>
    <xf numFmtId="173" fontId="14" fillId="10" borderId="7" xfId="6" applyNumberFormat="1" applyFont="1" applyFill="1" applyBorder="1"/>
    <xf numFmtId="164" fontId="77" fillId="0" borderId="6" xfId="6" applyNumberFormat="1" applyFont="1" applyBorder="1"/>
    <xf numFmtId="186" fontId="52" fillId="0" borderId="5" xfId="6" applyNumberFormat="1" applyFont="1" applyBorder="1" applyAlignment="1">
      <alignment horizontal="right"/>
    </xf>
    <xf numFmtId="171" fontId="49" fillId="0" borderId="7" xfId="7" applyNumberFormat="1" applyFont="1" applyBorder="1" applyAlignment="1">
      <alignment horizontal="center"/>
    </xf>
    <xf numFmtId="173" fontId="16" fillId="0" borderId="7" xfId="6" applyNumberFormat="1" applyFont="1" applyBorder="1"/>
    <xf numFmtId="173" fontId="15" fillId="0" borderId="16" xfId="2" applyNumberFormat="1" applyFont="1" applyBorder="1" applyAlignment="1">
      <alignment horizontal="center"/>
    </xf>
    <xf numFmtId="164" fontId="19" fillId="0" borderId="1" xfId="6" applyNumberFormat="1" applyFont="1" applyBorder="1"/>
    <xf numFmtId="164" fontId="20" fillId="0" borderId="1" xfId="6" applyNumberFormat="1" applyFont="1" applyBorder="1"/>
    <xf numFmtId="172" fontId="21" fillId="0" borderId="4" xfId="1" applyNumberFormat="1" applyFont="1" applyBorder="1"/>
    <xf numFmtId="186" fontId="52" fillId="0" borderId="5" xfId="6" applyNumberFormat="1" applyFont="1" applyBorder="1"/>
    <xf numFmtId="173" fontId="14" fillId="12" borderId="27" xfId="6" applyNumberFormat="1" applyFont="1" applyFill="1" applyBorder="1"/>
    <xf numFmtId="0" fontId="67" fillId="4" borderId="4" xfId="6" applyFont="1" applyFill="1" applyBorder="1" applyAlignment="1">
      <alignment horizontal="center"/>
    </xf>
    <xf numFmtId="166" fontId="79" fillId="0" borderId="3" xfId="2" applyFont="1" applyBorder="1" applyAlignment="1">
      <alignment horizontal="center"/>
    </xf>
    <xf numFmtId="164" fontId="16" fillId="0" borderId="7" xfId="6" applyNumberFormat="1" applyFont="1" applyBorder="1"/>
    <xf numFmtId="183" fontId="80" fillId="0" borderId="4" xfId="1" quotePrefix="1" applyNumberFormat="1" applyFont="1" applyBorder="1"/>
    <xf numFmtId="16" fontId="16" fillId="12" borderId="4" xfId="6" applyNumberFormat="1" applyFont="1" applyFill="1" applyBorder="1"/>
    <xf numFmtId="164" fontId="50" fillId="12" borderId="4" xfId="6" applyNumberFormat="1" applyFont="1" applyFill="1" applyBorder="1"/>
    <xf numFmtId="183" fontId="80" fillId="0" borderId="4" xfId="1" applyNumberFormat="1" applyFont="1" applyBorder="1"/>
    <xf numFmtId="173" fontId="15" fillId="0" borderId="11" xfId="2" applyNumberFormat="1" applyFont="1" applyBorder="1" applyAlignment="1">
      <alignment horizontal="center"/>
    </xf>
    <xf numFmtId="164" fontId="19" fillId="3" borderId="37" xfId="6" applyNumberFormat="1" applyFont="1" applyFill="1" applyBorder="1" applyAlignment="1">
      <alignment vertical="center"/>
    </xf>
    <xf numFmtId="173" fontId="49" fillId="0" borderId="14" xfId="2" applyNumberFormat="1" applyFont="1" applyBorder="1"/>
    <xf numFmtId="176" fontId="23" fillId="0" borderId="3" xfId="1" applyNumberFormat="1" applyFont="1" applyBorder="1"/>
    <xf numFmtId="10" fontId="23" fillId="0" borderId="3" xfId="6" applyNumberFormat="1" applyFont="1" applyBorder="1"/>
    <xf numFmtId="0" fontId="23" fillId="0" borderId="3" xfId="6" applyFont="1" applyBorder="1"/>
    <xf numFmtId="0" fontId="4" fillId="0" borderId="0" xfId="9" applyFont="1"/>
    <xf numFmtId="0" fontId="0" fillId="0" borderId="0" xfId="0" applyAlignment="1">
      <alignment horizontal="center"/>
    </xf>
    <xf numFmtId="182" fontId="7" fillId="0" borderId="0" xfId="9" applyNumberFormat="1" applyFont="1" applyAlignment="1">
      <alignment horizontal="center"/>
    </xf>
    <xf numFmtId="0" fontId="8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167" fontId="1" fillId="0" borderId="38" xfId="10" applyBorder="1"/>
    <xf numFmtId="0" fontId="82" fillId="4" borderId="38" xfId="0" applyFont="1" applyFill="1" applyBorder="1" applyAlignment="1">
      <alignment horizontal="right"/>
    </xf>
    <xf numFmtId="0" fontId="82" fillId="4" borderId="38" xfId="0" applyFont="1" applyFill="1" applyBorder="1"/>
    <xf numFmtId="0" fontId="0" fillId="0" borderId="38" xfId="0" applyBorder="1"/>
    <xf numFmtId="16" fontId="0" fillId="0" borderId="38" xfId="0" applyNumberFormat="1" applyBorder="1"/>
    <xf numFmtId="0" fontId="39" fillId="0" borderId="0" xfId="0" applyFont="1" applyAlignment="1">
      <alignment horizontal="center"/>
    </xf>
    <xf numFmtId="190" fontId="45" fillId="0" borderId="3" xfId="10" applyNumberFormat="1" applyFont="1" applyBorder="1" applyAlignment="1">
      <alignment horizontal="center" vertical="center"/>
    </xf>
    <xf numFmtId="16" fontId="83" fillId="0" borderId="4" xfId="0" applyNumberFormat="1" applyFont="1" applyBorder="1" applyAlignment="1">
      <alignment horizontal="center" vertical="center"/>
    </xf>
    <xf numFmtId="170" fontId="84" fillId="4" borderId="3" xfId="0" applyNumberFormat="1" applyFont="1" applyFill="1" applyBorder="1" applyAlignment="1">
      <alignment horizontal="left" vertical="center"/>
    </xf>
    <xf numFmtId="0" fontId="84" fillId="4" borderId="4" xfId="0" applyFont="1" applyFill="1" applyBorder="1" applyAlignment="1">
      <alignment vertical="center" wrapText="1"/>
    </xf>
    <xf numFmtId="0" fontId="84" fillId="4" borderId="4" xfId="0" applyFont="1" applyFill="1" applyBorder="1" applyAlignment="1">
      <alignment horizontal="right"/>
    </xf>
    <xf numFmtId="167" fontId="83" fillId="0" borderId="4" xfId="10" applyFont="1" applyBorder="1" applyAlignment="1">
      <alignment horizontal="center" vertical="center" wrapText="1"/>
    </xf>
    <xf numFmtId="167" fontId="83" fillId="0" borderId="4" xfId="10" applyFont="1" applyBorder="1" applyAlignment="1">
      <alignment vertical="center" wrapText="1"/>
    </xf>
    <xf numFmtId="0" fontId="86" fillId="0" borderId="0" xfId="0" applyFont="1" applyAlignment="1">
      <alignment horizontal="center"/>
    </xf>
    <xf numFmtId="0" fontId="81" fillId="0" borderId="0" xfId="0" applyFont="1"/>
    <xf numFmtId="0" fontId="87" fillId="4" borderId="4" xfId="0" applyFont="1" applyFill="1" applyBorder="1" applyAlignment="1">
      <alignment vertical="center" wrapText="1"/>
    </xf>
    <xf numFmtId="15" fontId="83" fillId="0" borderId="4" xfId="0" applyNumberFormat="1" applyFont="1" applyBorder="1" applyAlignment="1">
      <alignment vertical="center"/>
    </xf>
    <xf numFmtId="49" fontId="88" fillId="0" borderId="4" xfId="10" applyNumberFormat="1" applyFont="1" applyBorder="1" applyAlignment="1">
      <alignment horizontal="center" vertical="center" wrapText="1"/>
    </xf>
    <xf numFmtId="0" fontId="89" fillId="4" borderId="3" xfId="0" applyFont="1" applyFill="1" applyBorder="1" applyAlignment="1">
      <alignment vertical="center"/>
    </xf>
    <xf numFmtId="0" fontId="89" fillId="4" borderId="3" xfId="0" quotePrefix="1" applyFont="1" applyFill="1" applyBorder="1" applyAlignment="1">
      <alignment horizontal="center" vertical="center"/>
    </xf>
    <xf numFmtId="167" fontId="12" fillId="0" borderId="4" xfId="10" applyFont="1" applyBorder="1" applyAlignment="1">
      <alignment horizontal="center" vertical="center" wrapText="1"/>
    </xf>
    <xf numFmtId="49" fontId="88" fillId="0" borderId="4" xfId="10" applyNumberFormat="1" applyFont="1" applyBorder="1" applyAlignment="1">
      <alignment horizontal="left" vertical="center" wrapText="1"/>
    </xf>
    <xf numFmtId="190" fontId="45" fillId="10" borderId="3" xfId="10" applyNumberFormat="1" applyFont="1" applyFill="1" applyBorder="1" applyAlignment="1">
      <alignment horizontal="center" vertical="center"/>
    </xf>
    <xf numFmtId="16" fontId="83" fillId="10" borderId="4" xfId="0" applyNumberFormat="1" applyFont="1" applyFill="1" applyBorder="1" applyAlignment="1">
      <alignment horizontal="center" vertical="center"/>
    </xf>
    <xf numFmtId="170" fontId="90" fillId="10" borderId="3" xfId="0" applyNumberFormat="1" applyFont="1" applyFill="1" applyBorder="1" applyAlignment="1">
      <alignment horizontal="left" vertical="center"/>
    </xf>
    <xf numFmtId="0" fontId="89" fillId="4" borderId="4" xfId="0" applyFont="1" applyFill="1" applyBorder="1" applyAlignment="1">
      <alignment vertical="center" wrapText="1"/>
    </xf>
    <xf numFmtId="0" fontId="91" fillId="4" borderId="4" xfId="0" applyFont="1" applyFill="1" applyBorder="1" applyAlignment="1">
      <alignment horizontal="center" vertical="center"/>
    </xf>
    <xf numFmtId="0" fontId="55" fillId="0" borderId="4" xfId="0" applyFont="1" applyBorder="1" applyAlignment="1">
      <alignment vertical="center" wrapText="1"/>
    </xf>
    <xf numFmtId="0" fontId="84" fillId="4" borderId="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5" fontId="83" fillId="0" borderId="4" xfId="0" applyNumberFormat="1" applyFont="1" applyBorder="1" applyAlignment="1">
      <alignment horizontal="center" vertical="center"/>
    </xf>
    <xf numFmtId="0" fontId="92" fillId="0" borderId="0" xfId="0" applyFont="1"/>
    <xf numFmtId="0" fontId="82" fillId="4" borderId="3" xfId="0" applyFont="1" applyFill="1" applyBorder="1" applyAlignment="1">
      <alignment horizontal="right"/>
    </xf>
    <xf numFmtId="0" fontId="93" fillId="4" borderId="3" xfId="0" applyFont="1" applyFill="1" applyBorder="1"/>
    <xf numFmtId="0" fontId="0" fillId="0" borderId="3" xfId="0" applyBorder="1"/>
    <xf numFmtId="16" fontId="0" fillId="0" borderId="3" xfId="0" applyNumberFormat="1" applyBorder="1"/>
    <xf numFmtId="167" fontId="83" fillId="0" borderId="4" xfId="10" applyFont="1" applyBorder="1"/>
    <xf numFmtId="15" fontId="83" fillId="0" borderId="4" xfId="0" applyNumberFormat="1" applyFont="1" applyBorder="1" applyAlignment="1">
      <alignment horizontal="center"/>
    </xf>
    <xf numFmtId="170" fontId="84" fillId="4" borderId="3" xfId="0" applyNumberFormat="1" applyFont="1" applyFill="1" applyBorder="1" applyAlignment="1">
      <alignment horizontal="left"/>
    </xf>
    <xf numFmtId="0" fontId="84" fillId="4" borderId="4" xfId="0" applyFont="1" applyFill="1" applyBorder="1"/>
    <xf numFmtId="0" fontId="83" fillId="0" borderId="4" xfId="0" applyFont="1" applyBorder="1"/>
    <xf numFmtId="15" fontId="83" fillId="0" borderId="4" xfId="0" applyNumberFormat="1" applyFont="1" applyBorder="1"/>
    <xf numFmtId="0" fontId="94" fillId="0" borderId="39" xfId="0" applyFont="1" applyBorder="1" applyAlignment="1">
      <alignment horizontal="center"/>
    </xf>
    <xf numFmtId="0" fontId="83" fillId="0" borderId="0" xfId="0" applyFont="1"/>
    <xf numFmtId="167" fontId="83" fillId="0" borderId="0" xfId="10" applyFont="1"/>
    <xf numFmtId="15" fontId="83" fillId="0" borderId="0" xfId="0" applyNumberFormat="1" applyFont="1" applyAlignment="1">
      <alignment horizontal="center"/>
    </xf>
    <xf numFmtId="0" fontId="84" fillId="4" borderId="0" xfId="0" applyFont="1" applyFill="1" applyAlignment="1">
      <alignment horizontal="right"/>
    </xf>
    <xf numFmtId="0" fontId="83" fillId="0" borderId="0" xfId="0" applyFont="1" applyAlignment="1">
      <alignment horizontal="center"/>
    </xf>
    <xf numFmtId="0" fontId="95" fillId="4" borderId="4" xfId="0" applyFont="1" applyFill="1" applyBorder="1" applyAlignment="1">
      <alignment vertical="center" wrapText="1"/>
    </xf>
    <xf numFmtId="0" fontId="96" fillId="4" borderId="4" xfId="0" applyFont="1" applyFill="1" applyBorder="1" applyAlignment="1">
      <alignment vertical="center" wrapText="1"/>
    </xf>
    <xf numFmtId="0" fontId="4" fillId="0" borderId="40" xfId="6" applyFont="1" applyBorder="1"/>
    <xf numFmtId="0" fontId="42" fillId="0" borderId="20" xfId="1" applyNumberFormat="1" applyFont="1" applyBorder="1" applyAlignment="1">
      <alignment horizontal="center"/>
    </xf>
    <xf numFmtId="0" fontId="44" fillId="0" borderId="41" xfId="6" applyFont="1" applyBorder="1"/>
    <xf numFmtId="168" fontId="52" fillId="17" borderId="2" xfId="1" applyNumberFormat="1" applyFont="1" applyFill="1" applyBorder="1" applyAlignment="1">
      <alignment horizontal="center" vertical="center"/>
    </xf>
    <xf numFmtId="174" fontId="97" fillId="4" borderId="3" xfId="6" applyNumberFormat="1" applyFont="1" applyFill="1" applyBorder="1" applyAlignment="1">
      <alignment horizontal="center"/>
    </xf>
    <xf numFmtId="0" fontId="98" fillId="0" borderId="3" xfId="6" applyFont="1" applyBorder="1" applyAlignment="1">
      <alignment horizontal="center"/>
    </xf>
    <xf numFmtId="186" fontId="49" fillId="0" borderId="4" xfId="2" applyNumberFormat="1" applyFont="1" applyBorder="1"/>
    <xf numFmtId="172" fontId="99" fillId="0" borderId="4" xfId="1" applyNumberFormat="1" applyFont="1" applyBorder="1" applyAlignment="1">
      <alignment horizontal="center"/>
    </xf>
    <xf numFmtId="171" fontId="100" fillId="0" borderId="4" xfId="7" applyNumberFormat="1" applyFont="1" applyBorder="1" applyAlignment="1">
      <alignment horizontal="center"/>
    </xf>
    <xf numFmtId="173" fontId="49" fillId="0" borderId="4" xfId="2" applyNumberFormat="1" applyFont="1" applyBorder="1"/>
    <xf numFmtId="173" fontId="101" fillId="0" borderId="4" xfId="2" applyNumberFormat="1" applyFont="1" applyBorder="1" applyAlignment="1">
      <alignment horizontal="center"/>
    </xf>
    <xf numFmtId="164" fontId="49" fillId="0" borderId="4" xfId="6" applyNumberFormat="1" applyFont="1" applyBorder="1"/>
    <xf numFmtId="0" fontId="44" fillId="0" borderId="40" xfId="6" applyFont="1" applyBorder="1" applyAlignment="1">
      <alignment horizontal="right"/>
    </xf>
    <xf numFmtId="164" fontId="50" fillId="0" borderId="9" xfId="6" applyNumberFormat="1" applyFont="1" applyBorder="1"/>
    <xf numFmtId="173" fontId="65" fillId="0" borderId="4" xfId="2" applyNumberFormat="1" applyFont="1" applyBorder="1" applyAlignment="1">
      <alignment horizontal="center"/>
    </xf>
    <xf numFmtId="184" fontId="61" fillId="0" borderId="4" xfId="2" applyNumberFormat="1" applyFont="1" applyBorder="1"/>
    <xf numFmtId="181" fontId="61" fillId="0" borderId="4" xfId="2" applyNumberFormat="1" applyFont="1" applyBorder="1"/>
    <xf numFmtId="180" fontId="49" fillId="0" borderId="4" xfId="6" applyNumberFormat="1" applyFont="1" applyBorder="1"/>
    <xf numFmtId="167" fontId="102" fillId="0" borderId="4" xfId="1" applyFont="1" applyBorder="1"/>
    <xf numFmtId="172" fontId="49" fillId="0" borderId="4" xfId="1" applyNumberFormat="1" applyFont="1" applyBorder="1"/>
    <xf numFmtId="164" fontId="74" fillId="0" borderId="4" xfId="6" applyNumberFormat="1" applyFont="1" applyBorder="1"/>
    <xf numFmtId="166" fontId="74" fillId="0" borderId="4" xfId="6" applyNumberFormat="1" applyFont="1" applyBorder="1"/>
    <xf numFmtId="16" fontId="53" fillId="0" borderId="3" xfId="6" applyNumberFormat="1" applyFont="1" applyBorder="1"/>
    <xf numFmtId="173" fontId="44" fillId="0" borderId="7" xfId="1" applyNumberFormat="1" applyFont="1" applyBorder="1"/>
    <xf numFmtId="164" fontId="20" fillId="0" borderId="9" xfId="1" applyNumberFormat="1" applyFont="1" applyBorder="1"/>
    <xf numFmtId="164" fontId="44" fillId="0" borderId="9" xfId="1" applyNumberFormat="1" applyFont="1" applyBorder="1"/>
    <xf numFmtId="172" fontId="44" fillId="0" borderId="7" xfId="1" applyNumberFormat="1" applyFont="1" applyBorder="1"/>
    <xf numFmtId="0" fontId="15" fillId="4" borderId="6" xfId="6" applyFont="1" applyFill="1" applyBorder="1" applyAlignment="1">
      <alignment horizontal="right"/>
    </xf>
    <xf numFmtId="171" fontId="24" fillId="4" borderId="3" xfId="7" applyNumberFormat="1" applyFont="1" applyFill="1" applyBorder="1" applyAlignment="1">
      <alignment horizontal="center"/>
    </xf>
    <xf numFmtId="173" fontId="14" fillId="0" borderId="1" xfId="2" applyNumberFormat="1" applyFont="1" applyBorder="1"/>
    <xf numFmtId="165" fontId="57" fillId="0" borderId="9" xfId="1" applyNumberFormat="1" applyFont="1" applyBorder="1" applyAlignment="1">
      <alignment vertical="center"/>
    </xf>
    <xf numFmtId="2" fontId="15" fillId="4" borderId="4" xfId="6" applyNumberFormat="1" applyFont="1" applyFill="1" applyBorder="1" applyAlignment="1">
      <alignment horizontal="center"/>
    </xf>
    <xf numFmtId="164" fontId="4" fillId="0" borderId="4" xfId="1" applyNumberFormat="1" applyFont="1" applyBorder="1"/>
    <xf numFmtId="15" fontId="94" fillId="0" borderId="4" xfId="6" applyNumberFormat="1" applyFont="1" applyBorder="1"/>
    <xf numFmtId="164" fontId="4" fillId="0" borderId="4" xfId="6" applyNumberFormat="1" applyFont="1" applyBorder="1"/>
    <xf numFmtId="9" fontId="36" fillId="4" borderId="6" xfId="6" applyNumberFormat="1" applyFont="1" applyFill="1" applyBorder="1" applyAlignment="1">
      <alignment horizontal="center"/>
    </xf>
    <xf numFmtId="16" fontId="3" fillId="0" borderId="4" xfId="6" applyNumberFormat="1" applyFont="1" applyBorder="1"/>
    <xf numFmtId="164" fontId="3" fillId="0" borderId="6" xfId="6" applyNumberFormat="1" applyFont="1" applyBorder="1"/>
    <xf numFmtId="164" fontId="11" fillId="0" borderId="3" xfId="6" applyNumberFormat="1" applyFont="1" applyBorder="1"/>
    <xf numFmtId="178" fontId="16" fillId="0" borderId="3" xfId="1" applyNumberFormat="1" applyFont="1" applyBorder="1"/>
    <xf numFmtId="178" fontId="4" fillId="0" borderId="3" xfId="1" applyNumberFormat="1" applyFont="1" applyBorder="1"/>
    <xf numFmtId="164" fontId="14" fillId="0" borderId="4" xfId="6" applyNumberFormat="1" applyFont="1" applyBorder="1"/>
    <xf numFmtId="191" fontId="16" fillId="0" borderId="4" xfId="6" applyNumberFormat="1" applyFont="1" applyBorder="1"/>
    <xf numFmtId="191" fontId="44" fillId="0" borderId="4" xfId="6" applyNumberFormat="1" applyFont="1" applyBorder="1"/>
    <xf numFmtId="164" fontId="3" fillId="0" borderId="4" xfId="6" applyNumberFormat="1" applyFont="1" applyBorder="1"/>
    <xf numFmtId="164" fontId="104" fillId="4" borderId="4" xfId="6" applyNumberFormat="1" applyFont="1" applyFill="1" applyBorder="1" applyAlignment="1">
      <alignment horizontal="center"/>
    </xf>
    <xf numFmtId="192" fontId="105" fillId="4" borderId="4" xfId="7" applyNumberFormat="1" applyFont="1" applyFill="1" applyBorder="1" applyAlignment="1">
      <alignment horizontal="center"/>
    </xf>
    <xf numFmtId="168" fontId="106" fillId="7" borderId="26" xfId="1" applyNumberFormat="1" applyFont="1" applyFill="1" applyBorder="1" applyAlignment="1">
      <alignment horizontal="center" vertical="center"/>
    </xf>
    <xf numFmtId="168" fontId="106" fillId="7" borderId="17" xfId="1" applyNumberFormat="1" applyFont="1" applyFill="1" applyBorder="1" applyAlignment="1">
      <alignment horizontal="center" vertical="center"/>
    </xf>
    <xf numFmtId="168" fontId="106" fillId="7" borderId="18" xfId="1" applyNumberFormat="1" applyFont="1" applyFill="1" applyBorder="1" applyAlignment="1">
      <alignment horizontal="center" vertical="center"/>
    </xf>
    <xf numFmtId="168" fontId="106" fillId="17" borderId="2" xfId="1" applyNumberFormat="1" applyFont="1" applyFill="1" applyBorder="1" applyAlignment="1">
      <alignment horizontal="center" vertical="center"/>
    </xf>
    <xf numFmtId="168" fontId="106" fillId="17" borderId="21" xfId="1" applyNumberFormat="1" applyFont="1" applyFill="1" applyBorder="1" applyAlignment="1">
      <alignment horizontal="center" vertical="center"/>
    </xf>
    <xf numFmtId="168" fontId="106" fillId="18" borderId="2" xfId="1" applyNumberFormat="1" applyFont="1" applyFill="1" applyBorder="1" applyAlignment="1">
      <alignment horizontal="center" vertical="center"/>
    </xf>
    <xf numFmtId="168" fontId="106" fillId="18" borderId="21" xfId="1" applyNumberFormat="1" applyFont="1" applyFill="1" applyBorder="1" applyAlignment="1">
      <alignment horizontal="center" vertical="center"/>
    </xf>
    <xf numFmtId="0" fontId="14" fillId="20" borderId="20" xfId="1" quotePrefix="1" applyNumberFormat="1" applyFont="1" applyFill="1" applyBorder="1" applyAlignment="1">
      <alignment horizontal="center"/>
    </xf>
    <xf numFmtId="0" fontId="14" fillId="20" borderId="21" xfId="1" quotePrefix="1" applyNumberFormat="1" applyFont="1" applyFill="1" applyBorder="1" applyAlignment="1">
      <alignment horizontal="center"/>
    </xf>
    <xf numFmtId="164" fontId="49" fillId="0" borderId="4" xfId="6" applyNumberFormat="1" applyFont="1" applyBorder="1" applyAlignment="1">
      <alignment horizontal="center"/>
    </xf>
    <xf numFmtId="173" fontId="49" fillId="0" borderId="4" xfId="6" applyNumberFormat="1" applyFont="1" applyBorder="1" applyAlignment="1">
      <alignment horizontal="center"/>
    </xf>
    <xf numFmtId="177" fontId="107" fillId="0" borderId="4" xfId="7" applyNumberFormat="1" applyFont="1" applyBorder="1"/>
    <xf numFmtId="173" fontId="103" fillId="0" borderId="1" xfId="6" applyNumberFormat="1" applyFont="1" applyBorder="1"/>
    <xf numFmtId="164" fontId="14" fillId="0" borderId="4" xfId="6" quotePrefix="1" applyNumberFormat="1" applyFont="1" applyBorder="1" applyAlignment="1">
      <alignment horizontal="center"/>
    </xf>
    <xf numFmtId="15" fontId="88" fillId="0" borderId="4" xfId="0" applyNumberFormat="1" applyFont="1" applyBorder="1" applyAlignment="1">
      <alignment horizontal="center" vertical="center" wrapText="1"/>
    </xf>
    <xf numFmtId="16" fontId="50" fillId="0" borderId="26" xfId="9" applyNumberFormat="1" applyFont="1" applyBorder="1" applyAlignment="1">
      <alignment horizontal="center"/>
    </xf>
    <xf numFmtId="188" fontId="50" fillId="0" borderId="18" xfId="9" applyNumberFormat="1" applyFont="1" applyBorder="1" applyAlignment="1">
      <alignment horizontal="center"/>
    </xf>
    <xf numFmtId="188" fontId="50" fillId="0" borderId="18" xfId="6" applyNumberFormat="1" applyFont="1" applyBorder="1" applyAlignment="1">
      <alignment horizontal="center"/>
    </xf>
    <xf numFmtId="16" fontId="88" fillId="0" borderId="4" xfId="0" applyNumberFormat="1" applyFont="1" applyBorder="1" applyAlignment="1">
      <alignment horizontal="center" vertical="center"/>
    </xf>
    <xf numFmtId="170" fontId="95" fillId="4" borderId="4" xfId="0" applyNumberFormat="1" applyFont="1" applyFill="1" applyBorder="1" applyAlignment="1">
      <alignment horizontal="left" vertical="center"/>
    </xf>
    <xf numFmtId="193" fontId="88" fillId="0" borderId="4" xfId="0" applyNumberFormat="1" applyFont="1" applyBorder="1" applyAlignment="1">
      <alignment horizontal="center" vertical="center"/>
    </xf>
    <xf numFmtId="0" fontId="49" fillId="0" borderId="4" xfId="10" applyNumberFormat="1" applyFont="1" applyBorder="1" applyAlignment="1">
      <alignment horizontal="left"/>
    </xf>
    <xf numFmtId="0" fontId="111" fillId="0" borderId="0" xfId="6" applyFont="1"/>
    <xf numFmtId="0" fontId="112" fillId="0" borderId="0" xfId="6" applyFont="1" applyAlignment="1">
      <alignment horizontal="center"/>
    </xf>
    <xf numFmtId="2" fontId="112" fillId="0" borderId="0" xfId="6" applyNumberFormat="1" applyFont="1" applyAlignment="1">
      <alignment horizontal="center"/>
    </xf>
    <xf numFmtId="0" fontId="5" fillId="0" borderId="0" xfId="6" applyFont="1" applyAlignment="1">
      <alignment horizontal="right"/>
    </xf>
    <xf numFmtId="15" fontId="113" fillId="0" borderId="0" xfId="6" applyNumberFormat="1" applyFont="1" applyAlignment="1">
      <alignment horizontal="center"/>
    </xf>
    <xf numFmtId="0" fontId="11" fillId="0" borderId="0" xfId="6" applyFont="1"/>
    <xf numFmtId="14" fontId="34" fillId="0" borderId="0" xfId="7" applyNumberFormat="1" applyFont="1" applyAlignment="1">
      <alignment horizontal="right"/>
    </xf>
    <xf numFmtId="194" fontId="8" fillId="0" borderId="0" xfId="1" applyNumberFormat="1" applyFont="1" applyAlignment="1">
      <alignment horizontal="left"/>
    </xf>
    <xf numFmtId="0" fontId="25" fillId="0" borderId="1" xfId="6" applyFont="1" applyBorder="1" applyAlignment="1">
      <alignment horizontal="center"/>
    </xf>
    <xf numFmtId="0" fontId="94" fillId="0" borderId="1" xfId="6" applyFont="1" applyBorder="1" applyAlignment="1">
      <alignment horizontal="center"/>
    </xf>
    <xf numFmtId="0" fontId="114" fillId="10" borderId="1" xfId="6" applyFont="1" applyFill="1" applyBorder="1" applyAlignment="1">
      <alignment horizontal="center"/>
    </xf>
    <xf numFmtId="0" fontId="114" fillId="23" borderId="20" xfId="6" applyFont="1" applyFill="1" applyBorder="1" applyAlignment="1">
      <alignment horizontal="center"/>
    </xf>
    <xf numFmtId="0" fontId="115" fillId="24" borderId="20" xfId="6" applyFont="1" applyFill="1" applyBorder="1" applyAlignment="1">
      <alignment horizontal="center"/>
    </xf>
    <xf numFmtId="16" fontId="4" fillId="0" borderId="38" xfId="6" applyNumberFormat="1" applyFont="1" applyBorder="1"/>
    <xf numFmtId="0" fontId="15" fillId="4" borderId="38" xfId="6" applyFont="1" applyFill="1" applyBorder="1" applyAlignment="1">
      <alignment horizontal="right"/>
    </xf>
    <xf numFmtId="0" fontId="4" fillId="0" borderId="38" xfId="6" applyFont="1" applyBorder="1"/>
    <xf numFmtId="16" fontId="4" fillId="0" borderId="3" xfId="6" applyNumberFormat="1" applyFont="1" applyBorder="1"/>
    <xf numFmtId="190" fontId="16" fillId="0" borderId="3" xfId="6" applyNumberFormat="1" applyFont="1" applyBorder="1" applyAlignment="1">
      <alignment horizontal="center"/>
    </xf>
    <xf numFmtId="174" fontId="116" fillId="25" borderId="3" xfId="6" applyNumberFormat="1" applyFont="1" applyFill="1" applyBorder="1" applyAlignment="1">
      <alignment horizontal="center"/>
    </xf>
    <xf numFmtId="195" fontId="117" fillId="0" borderId="4" xfId="6" applyNumberFormat="1" applyFont="1" applyBorder="1"/>
    <xf numFmtId="195" fontId="44" fillId="0" borderId="4" xfId="6" applyNumberFormat="1" applyFont="1" applyBorder="1"/>
    <xf numFmtId="195" fontId="118" fillId="0" borderId="4" xfId="6" applyNumberFormat="1" applyFont="1" applyBorder="1"/>
    <xf numFmtId="164" fontId="11" fillId="0" borderId="6" xfId="6" applyNumberFormat="1" applyFont="1" applyBorder="1"/>
    <xf numFmtId="164" fontId="9" fillId="0" borderId="6" xfId="6" applyNumberFormat="1" applyFont="1" applyBorder="1"/>
    <xf numFmtId="175" fontId="119" fillId="0" borderId="4" xfId="6" applyNumberFormat="1" applyFont="1" applyBorder="1"/>
    <xf numFmtId="164" fontId="9" fillId="0" borderId="16" xfId="6" applyNumberFormat="1" applyFont="1" applyBorder="1"/>
    <xf numFmtId="174" fontId="116" fillId="4" borderId="3" xfId="6" applyNumberFormat="1" applyFont="1" applyFill="1" applyBorder="1" applyAlignment="1">
      <alignment horizontal="center"/>
    </xf>
    <xf numFmtId="175" fontId="44" fillId="0" borderId="3" xfId="6" applyNumberFormat="1" applyFont="1" applyBorder="1"/>
    <xf numFmtId="164" fontId="80" fillId="0" borderId="6" xfId="6" applyNumberFormat="1" applyFont="1" applyBorder="1"/>
    <xf numFmtId="174" fontId="87" fillId="4" borderId="3" xfId="6" applyNumberFormat="1" applyFont="1" applyFill="1" applyBorder="1" applyAlignment="1">
      <alignment horizontal="center"/>
    </xf>
    <xf numFmtId="164" fontId="120" fillId="0" borderId="6" xfId="6" applyNumberFormat="1" applyFont="1" applyBorder="1"/>
    <xf numFmtId="164" fontId="121" fillId="0" borderId="4" xfId="6" applyNumberFormat="1" applyFont="1" applyBorder="1"/>
    <xf numFmtId="195" fontId="122" fillId="0" borderId="4" xfId="6" applyNumberFormat="1" applyFont="1" applyBorder="1"/>
    <xf numFmtId="195" fontId="16" fillId="0" borderId="4" xfId="6" applyNumberFormat="1" applyFont="1" applyBorder="1"/>
    <xf numFmtId="195" fontId="123" fillId="0" borderId="4" xfId="6" applyNumberFormat="1" applyFont="1" applyBorder="1"/>
    <xf numFmtId="195" fontId="16" fillId="0" borderId="6" xfId="6" applyNumberFormat="1" applyFont="1" applyBorder="1"/>
    <xf numFmtId="195" fontId="48" fillId="25" borderId="4" xfId="6" applyNumberFormat="1" applyFont="1" applyFill="1" applyBorder="1"/>
    <xf numFmtId="164" fontId="124" fillId="0" borderId="6" xfId="6" applyNumberFormat="1" applyFont="1" applyBorder="1"/>
    <xf numFmtId="174" fontId="87" fillId="4" borderId="3" xfId="6" applyNumberFormat="1" applyFont="1" applyFill="1" applyBorder="1" applyAlignment="1">
      <alignment horizontal="right"/>
    </xf>
    <xf numFmtId="0" fontId="125" fillId="0" borderId="0" xfId="6" applyFont="1"/>
    <xf numFmtId="0" fontId="50" fillId="2" borderId="0" xfId="6" applyFont="1" applyFill="1"/>
    <xf numFmtId="190" fontId="16" fillId="0" borderId="4" xfId="6" applyNumberFormat="1" applyFont="1" applyBorder="1" applyAlignment="1">
      <alignment horizontal="center"/>
    </xf>
    <xf numFmtId="16" fontId="50" fillId="0" borderId="4" xfId="6" applyNumberFormat="1" applyFont="1" applyBorder="1"/>
    <xf numFmtId="195" fontId="126" fillId="0" borderId="4" xfId="6" applyNumberFormat="1" applyFont="1" applyBorder="1"/>
    <xf numFmtId="164" fontId="9" fillId="0" borderId="4" xfId="6" applyNumberFormat="1" applyFont="1" applyBorder="1"/>
    <xf numFmtId="187" fontId="15" fillId="4" borderId="4" xfId="6" applyNumberFormat="1" applyFont="1" applyFill="1" applyBorder="1" applyAlignment="1">
      <alignment horizontal="center"/>
    </xf>
    <xf numFmtId="0" fontId="127" fillId="0" borderId="4" xfId="6" applyFont="1" applyBorder="1" applyAlignment="1">
      <alignment horizontal="center" vertical="center"/>
    </xf>
    <xf numFmtId="16" fontId="53" fillId="0" borderId="4" xfId="6" applyNumberFormat="1" applyFont="1" applyBorder="1"/>
    <xf numFmtId="174" fontId="78" fillId="4" borderId="4" xfId="6" applyNumberFormat="1" applyFont="1" applyFill="1" applyBorder="1" applyAlignment="1">
      <alignment horizontal="center"/>
    </xf>
    <xf numFmtId="175" fontId="14" fillId="0" borderId="4" xfId="6" applyNumberFormat="1" applyFont="1" applyBorder="1"/>
    <xf numFmtId="174" fontId="15" fillId="4" borderId="7" xfId="6" applyNumberFormat="1" applyFont="1" applyFill="1" applyBorder="1" applyAlignment="1">
      <alignment horizontal="center"/>
    </xf>
    <xf numFmtId="175" fontId="16" fillId="0" borderId="7" xfId="6" applyNumberFormat="1" applyFont="1" applyBorder="1"/>
    <xf numFmtId="0" fontId="128" fillId="0" borderId="4" xfId="6" applyFont="1" applyBorder="1" applyAlignment="1">
      <alignment horizontal="center"/>
    </xf>
    <xf numFmtId="16" fontId="46" fillId="0" borderId="42" xfId="6" applyNumberFormat="1" applyFont="1" applyBorder="1"/>
    <xf numFmtId="174" fontId="15" fillId="4" borderId="43" xfId="6" applyNumberFormat="1" applyFont="1" applyFill="1" applyBorder="1" applyAlignment="1">
      <alignment horizontal="center"/>
    </xf>
    <xf numFmtId="174" fontId="15" fillId="4" borderId="22" xfId="6" applyNumberFormat="1" applyFont="1" applyFill="1" applyBorder="1" applyAlignment="1">
      <alignment horizontal="center"/>
    </xf>
    <xf numFmtId="164" fontId="129" fillId="8" borderId="1" xfId="6" applyNumberFormat="1" applyFont="1" applyFill="1" applyBorder="1"/>
    <xf numFmtId="164" fontId="129" fillId="8" borderId="0" xfId="6" applyNumberFormat="1" applyFont="1" applyFill="1"/>
    <xf numFmtId="9" fontId="38" fillId="4" borderId="3" xfId="6" applyNumberFormat="1" applyFont="1" applyFill="1" applyBorder="1"/>
    <xf numFmtId="164" fontId="14" fillId="0" borderId="3" xfId="6" applyNumberFormat="1" applyFont="1" applyBorder="1"/>
    <xf numFmtId="196" fontId="4" fillId="0" borderId="4" xfId="1" applyNumberFormat="1" applyFont="1" applyBorder="1"/>
    <xf numFmtId="164" fontId="4" fillId="0" borderId="0" xfId="6" applyNumberFormat="1" applyFont="1"/>
    <xf numFmtId="173" fontId="49" fillId="0" borderId="9" xfId="6" applyNumberFormat="1" applyFont="1" applyBorder="1" applyAlignment="1">
      <alignment horizontal="center"/>
    </xf>
    <xf numFmtId="187" fontId="49" fillId="0" borderId="7" xfId="6" applyNumberFormat="1" applyFont="1" applyBorder="1" applyAlignment="1">
      <alignment horizontal="center"/>
    </xf>
    <xf numFmtId="184" fontId="130" fillId="0" borderId="45" xfId="2" applyNumberFormat="1" applyFont="1" applyBorder="1"/>
    <xf numFmtId="184" fontId="130" fillId="0" borderId="33" xfId="2" applyNumberFormat="1" applyFont="1" applyBorder="1"/>
    <xf numFmtId="9" fontId="15" fillId="4" borderId="4" xfId="6" applyNumberFormat="1" applyFont="1" applyFill="1" applyBorder="1" applyAlignment="1">
      <alignment horizontal="right"/>
    </xf>
    <xf numFmtId="10" fontId="24" fillId="4" borderId="4" xfId="7" applyNumberFormat="1" applyFont="1" applyFill="1" applyBorder="1" applyAlignment="1">
      <alignment horizontal="center"/>
    </xf>
    <xf numFmtId="164" fontId="44" fillId="0" borderId="4" xfId="1" applyNumberFormat="1" applyFont="1" applyBorder="1"/>
    <xf numFmtId="164" fontId="42" fillId="0" borderId="4" xfId="6" applyNumberFormat="1" applyFont="1" applyBorder="1"/>
    <xf numFmtId="9" fontId="67" fillId="4" borderId="3" xfId="6" applyNumberFormat="1" applyFont="1" applyFill="1" applyBorder="1" applyAlignment="1">
      <alignment horizontal="center"/>
    </xf>
    <xf numFmtId="173" fontId="42" fillId="0" borderId="4" xfId="6" applyNumberFormat="1" applyFont="1" applyBorder="1"/>
    <xf numFmtId="9" fontId="132" fillId="4" borderId="3" xfId="6" applyNumberFormat="1" applyFont="1" applyFill="1" applyBorder="1" applyAlignment="1">
      <alignment horizontal="left"/>
    </xf>
    <xf numFmtId="0" fontId="52" fillId="20" borderId="20" xfId="1" quotePrefix="1" applyNumberFormat="1" applyFont="1" applyFill="1" applyBorder="1" applyAlignment="1">
      <alignment horizontal="center"/>
    </xf>
    <xf numFmtId="0" fontId="52" fillId="20" borderId="21" xfId="1" quotePrefix="1" applyNumberFormat="1" applyFont="1" applyFill="1" applyBorder="1" applyAlignment="1">
      <alignment horizontal="center"/>
    </xf>
    <xf numFmtId="168" fontId="52" fillId="7" borderId="26" xfId="1" applyNumberFormat="1" applyFont="1" applyFill="1" applyBorder="1" applyAlignment="1">
      <alignment horizontal="center" vertical="center"/>
    </xf>
    <xf numFmtId="168" fontId="52" fillId="7" borderId="17" xfId="1" applyNumberFormat="1" applyFont="1" applyFill="1" applyBorder="1" applyAlignment="1">
      <alignment horizontal="center" vertical="center"/>
    </xf>
    <xf numFmtId="168" fontId="52" fillId="7" borderId="18" xfId="1" applyNumberFormat="1" applyFont="1" applyFill="1" applyBorder="1" applyAlignment="1">
      <alignment horizontal="center" vertical="center"/>
    </xf>
    <xf numFmtId="9" fontId="37" fillId="4" borderId="4" xfId="6" applyNumberFormat="1" applyFont="1" applyFill="1" applyBorder="1" applyAlignment="1">
      <alignment horizontal="left"/>
    </xf>
    <xf numFmtId="173" fontId="49" fillId="26" borderId="9" xfId="1" applyNumberFormat="1" applyFont="1" applyFill="1" applyBorder="1"/>
    <xf numFmtId="173" fontId="49" fillId="27" borderId="9" xfId="1" applyNumberFormat="1" applyFont="1" applyFill="1" applyBorder="1"/>
    <xf numFmtId="9" fontId="132" fillId="4" borderId="0" xfId="6" applyNumberFormat="1" applyFont="1" applyFill="1" applyAlignment="1">
      <alignment horizontal="left"/>
    </xf>
    <xf numFmtId="173" fontId="42" fillId="0" borderId="0" xfId="6" applyNumberFormat="1" applyFont="1"/>
    <xf numFmtId="173" fontId="131" fillId="0" borderId="0" xfId="1" applyNumberFormat="1" applyFont="1"/>
    <xf numFmtId="0" fontId="133" fillId="0" borderId="0" xfId="6" applyFont="1"/>
    <xf numFmtId="173" fontId="134" fillId="0" borderId="4" xfId="1" applyNumberFormat="1" applyFont="1" applyBorder="1"/>
    <xf numFmtId="0" fontId="49" fillId="0" borderId="3" xfId="10" applyNumberFormat="1" applyFont="1" applyBorder="1" applyAlignment="1">
      <alignment horizontal="left"/>
    </xf>
    <xf numFmtId="16" fontId="88" fillId="0" borderId="3" xfId="0" applyNumberFormat="1" applyFont="1" applyBorder="1" applyAlignment="1">
      <alignment horizontal="center" vertical="center"/>
    </xf>
    <xf numFmtId="170" fontId="95" fillId="4" borderId="3" xfId="0" applyNumberFormat="1" applyFont="1" applyFill="1" applyBorder="1" applyAlignment="1">
      <alignment horizontal="left" vertical="center"/>
    </xf>
    <xf numFmtId="193" fontId="88" fillId="0" borderId="3" xfId="0" applyNumberFormat="1" applyFont="1" applyBorder="1" applyAlignment="1">
      <alignment horizontal="center" vertical="center"/>
    </xf>
    <xf numFmtId="0" fontId="57" fillId="0" borderId="1" xfId="10" applyNumberFormat="1" applyFont="1" applyBorder="1" applyAlignment="1">
      <alignment horizontal="center"/>
    </xf>
    <xf numFmtId="0" fontId="109" fillId="0" borderId="0" xfId="6" applyFont="1"/>
    <xf numFmtId="0" fontId="109" fillId="0" borderId="0" xfId="6" applyFont="1" applyAlignment="1">
      <alignment horizontal="right"/>
    </xf>
    <xf numFmtId="172" fontId="53" fillId="0" borderId="44" xfId="1" applyNumberFormat="1" applyFont="1" applyBorder="1" applyAlignment="1">
      <alignment horizontal="right"/>
    </xf>
    <xf numFmtId="172" fontId="53" fillId="0" borderId="32" xfId="1" applyNumberFormat="1" applyFont="1" applyBorder="1" applyAlignment="1">
      <alignment horizontal="right"/>
    </xf>
    <xf numFmtId="164" fontId="57" fillId="0" borderId="46" xfId="6" applyNumberFormat="1" applyFont="1" applyBorder="1"/>
    <xf numFmtId="164" fontId="57" fillId="0" borderId="34" xfId="6" applyNumberFormat="1" applyFont="1" applyBorder="1"/>
    <xf numFmtId="187" fontId="51" fillId="26" borderId="47" xfId="6" quotePrefix="1" applyNumberFormat="1" applyFont="1" applyFill="1" applyBorder="1" applyAlignment="1">
      <alignment horizontal="center"/>
    </xf>
    <xf numFmtId="187" fontId="51" fillId="26" borderId="48" xfId="6" quotePrefix="1" applyNumberFormat="1" applyFont="1" applyFill="1" applyBorder="1" applyAlignment="1">
      <alignment horizontal="center"/>
    </xf>
    <xf numFmtId="187" fontId="51" fillId="26" borderId="49" xfId="6" quotePrefix="1" applyNumberFormat="1" applyFont="1" applyFill="1" applyBorder="1" applyAlignment="1">
      <alignment horizontal="center"/>
    </xf>
    <xf numFmtId="197" fontId="42" fillId="26" borderId="29" xfId="6" applyNumberFormat="1" applyFont="1" applyFill="1" applyBorder="1" applyAlignment="1">
      <alignment horizontal="center"/>
    </xf>
    <xf numFmtId="197" fontId="42" fillId="26" borderId="0" xfId="6" applyNumberFormat="1" applyFont="1" applyFill="1" applyAlignment="1">
      <alignment horizontal="center"/>
    </xf>
    <xf numFmtId="197" fontId="42" fillId="26" borderId="28" xfId="6" applyNumberFormat="1" applyFont="1" applyFill="1" applyBorder="1" applyAlignment="1">
      <alignment horizontal="center"/>
    </xf>
    <xf numFmtId="197" fontId="42" fillId="26" borderId="25" xfId="6" applyNumberFormat="1" applyFont="1" applyFill="1" applyBorder="1" applyAlignment="1">
      <alignment horizontal="center"/>
    </xf>
    <xf numFmtId="197" fontId="42" fillId="26" borderId="22" xfId="6" applyNumberFormat="1" applyFont="1" applyFill="1" applyBorder="1" applyAlignment="1">
      <alignment horizontal="center"/>
    </xf>
    <xf numFmtId="197" fontId="42" fillId="26" borderId="50" xfId="6" applyNumberFormat="1" applyFont="1" applyFill="1" applyBorder="1" applyAlignment="1">
      <alignment horizontal="center"/>
    </xf>
    <xf numFmtId="10" fontId="24" fillId="4" borderId="16" xfId="7" applyNumberFormat="1" applyFont="1" applyFill="1" applyBorder="1" applyAlignment="1">
      <alignment horizontal="center"/>
    </xf>
    <xf numFmtId="0" fontId="72" fillId="0" borderId="7" xfId="6" applyFont="1" applyBorder="1" applyAlignment="1">
      <alignment horizontal="center"/>
    </xf>
    <xf numFmtId="164" fontId="49" fillId="0" borderId="7" xfId="6" applyNumberFormat="1" applyFont="1" applyBorder="1" applyAlignment="1">
      <alignment horizontal="center"/>
    </xf>
    <xf numFmtId="173" fontId="16" fillId="0" borderId="40" xfId="1" applyNumberFormat="1" applyFont="1" applyBorder="1"/>
    <xf numFmtId="173" fontId="53" fillId="26" borderId="26" xfId="1" applyNumberFormat="1" applyFont="1" applyFill="1" applyBorder="1" applyAlignment="1">
      <alignment vertical="center"/>
    </xf>
    <xf numFmtId="173" fontId="53" fillId="27" borderId="21" xfId="1" applyNumberFormat="1" applyFont="1" applyFill="1" applyBorder="1" applyAlignment="1">
      <alignment vertical="center"/>
    </xf>
    <xf numFmtId="16" fontId="49" fillId="0" borderId="3" xfId="6" applyNumberFormat="1" applyFont="1" applyBorder="1"/>
    <xf numFmtId="173" fontId="135" fillId="0" borderId="4" xfId="2" applyNumberFormat="1" applyFont="1" applyBorder="1" applyAlignment="1">
      <alignment horizontal="center"/>
    </xf>
    <xf numFmtId="166" fontId="24" fillId="0" borderId="4" xfId="2" applyFont="1" applyBorder="1" applyAlignment="1">
      <alignment horizontal="center"/>
    </xf>
    <xf numFmtId="164" fontId="9" fillId="0" borderId="11" xfId="6" applyNumberFormat="1" applyFont="1" applyBorder="1" applyAlignment="1">
      <alignment horizontal="right" vertical="center"/>
    </xf>
    <xf numFmtId="0" fontId="136" fillId="0" borderId="4" xfId="6" applyFont="1" applyBorder="1"/>
    <xf numFmtId="49" fontId="51" fillId="14" borderId="7" xfId="6" applyNumberFormat="1" applyFont="1" applyFill="1" applyBorder="1" applyAlignment="1">
      <alignment horizontal="center"/>
    </xf>
    <xf numFmtId="49" fontId="51" fillId="14" borderId="10" xfId="6" applyNumberFormat="1" applyFont="1" applyFill="1" applyBorder="1" applyAlignment="1">
      <alignment horizontal="center"/>
    </xf>
    <xf numFmtId="167" fontId="100" fillId="0" borderId="40" xfId="1" applyFont="1" applyBorder="1" applyAlignment="1">
      <alignment horizontal="center"/>
    </xf>
    <xf numFmtId="164" fontId="14" fillId="0" borderId="52" xfId="6" applyNumberFormat="1" applyFont="1" applyBorder="1"/>
    <xf numFmtId="16" fontId="3" fillId="0" borderId="7" xfId="6" applyNumberFormat="1" applyFont="1" applyBorder="1"/>
    <xf numFmtId="173" fontId="15" fillId="4" borderId="7" xfId="2" applyNumberFormat="1" applyFont="1" applyFill="1" applyBorder="1" applyAlignment="1">
      <alignment horizontal="center"/>
    </xf>
    <xf numFmtId="164" fontId="14" fillId="0" borderId="3" xfId="6" quotePrefix="1" applyNumberFormat="1" applyFont="1" applyBorder="1" applyAlignment="1">
      <alignment horizontal="center"/>
    </xf>
    <xf numFmtId="0" fontId="19" fillId="28" borderId="1" xfId="1" applyNumberFormat="1" applyFont="1" applyFill="1" applyBorder="1" applyAlignment="1">
      <alignment horizontal="center"/>
    </xf>
    <xf numFmtId="9" fontId="137" fillId="4" borderId="1" xfId="6" applyNumberFormat="1" applyFont="1" applyFill="1" applyBorder="1" applyAlignment="1">
      <alignment horizontal="center"/>
    </xf>
    <xf numFmtId="9" fontId="138" fillId="4" borderId="1" xfId="6" applyNumberFormat="1" applyFont="1" applyFill="1" applyBorder="1" applyAlignment="1">
      <alignment horizontal="center"/>
    </xf>
    <xf numFmtId="164" fontId="53" fillId="12" borderId="26" xfId="6" quotePrefix="1" applyNumberFormat="1" applyFont="1" applyFill="1" applyBorder="1" applyAlignment="1">
      <alignment horizontal="center"/>
    </xf>
    <xf numFmtId="164" fontId="53" fillId="12" borderId="18" xfId="6" quotePrefix="1" applyNumberFormat="1" applyFont="1" applyFill="1" applyBorder="1" applyAlignment="1">
      <alignment horizontal="center"/>
    </xf>
    <xf numFmtId="164" fontId="53" fillId="12" borderId="26" xfId="6" quotePrefix="1" applyNumberFormat="1" applyFont="1" applyFill="1" applyBorder="1" applyAlignment="1">
      <alignment horizontal="left"/>
    </xf>
    <xf numFmtId="164" fontId="14" fillId="0" borderId="23" xfId="6" applyNumberFormat="1" applyFont="1" applyBorder="1" applyAlignment="1">
      <alignment vertical="center"/>
    </xf>
    <xf numFmtId="166" fontId="4" fillId="0" borderId="7" xfId="2" applyFont="1" applyBorder="1"/>
    <xf numFmtId="166" fontId="21" fillId="0" borderId="7" xfId="2" applyFont="1" applyBorder="1"/>
    <xf numFmtId="166" fontId="4" fillId="0" borderId="10" xfId="6" applyNumberFormat="1" applyFont="1" applyBorder="1"/>
    <xf numFmtId="167" fontId="52" fillId="0" borderId="20" xfId="1" applyFont="1" applyBorder="1" applyAlignment="1">
      <alignment horizontal="center"/>
    </xf>
    <xf numFmtId="0" fontId="44" fillId="0" borderId="26" xfId="6" applyFont="1" applyBorder="1"/>
    <xf numFmtId="0" fontId="4" fillId="0" borderId="27" xfId="6" applyFont="1" applyBorder="1"/>
    <xf numFmtId="172" fontId="5" fillId="0" borderId="51" xfId="1" applyNumberFormat="1" applyFont="1" applyBorder="1" applyAlignment="1">
      <alignment horizontal="right"/>
    </xf>
    <xf numFmtId="0" fontId="4" fillId="0" borderId="51" xfId="6" applyFont="1" applyBorder="1"/>
    <xf numFmtId="0" fontId="4" fillId="0" borderId="18" xfId="6" applyFont="1" applyBorder="1"/>
    <xf numFmtId="0" fontId="131" fillId="0" borderId="51" xfId="6" applyFont="1" applyBorder="1" applyAlignment="1">
      <alignment horizontal="right"/>
    </xf>
    <xf numFmtId="0" fontId="131" fillId="0" borderId="26" xfId="6" applyFont="1" applyBorder="1"/>
    <xf numFmtId="173" fontId="53" fillId="0" borderId="4" xfId="2" applyNumberFormat="1" applyFont="1" applyBorder="1"/>
    <xf numFmtId="197" fontId="4" fillId="0" borderId="4" xfId="6" applyNumberFormat="1" applyFont="1" applyBorder="1"/>
    <xf numFmtId="0" fontId="139" fillId="0" borderId="0" xfId="6" applyFont="1"/>
    <xf numFmtId="0" fontId="140" fillId="0" borderId="0" xfId="0" applyFont="1"/>
    <xf numFmtId="0" fontId="4" fillId="14" borderId="53" xfId="6" applyFont="1" applyFill="1" applyBorder="1" applyAlignment="1">
      <alignment horizontal="left"/>
    </xf>
    <xf numFmtId="0" fontId="4" fillId="14" borderId="38" xfId="6" applyFont="1" applyFill="1" applyBorder="1"/>
    <xf numFmtId="0" fontId="4" fillId="14" borderId="54" xfId="6" applyFont="1" applyFill="1" applyBorder="1"/>
    <xf numFmtId="173" fontId="49" fillId="0" borderId="55" xfId="2" applyNumberFormat="1" applyFont="1" applyBorder="1" applyAlignment="1">
      <alignment horizontal="left" vertical="center"/>
    </xf>
    <xf numFmtId="173" fontId="49" fillId="0" borderId="56" xfId="2" applyNumberFormat="1" applyFont="1" applyBorder="1"/>
    <xf numFmtId="173" fontId="53" fillId="0" borderId="55" xfId="2" applyNumberFormat="1" applyFont="1" applyBorder="1" applyAlignment="1">
      <alignment horizontal="left" vertical="center"/>
    </xf>
    <xf numFmtId="173" fontId="53" fillId="0" borderId="56" xfId="2" applyNumberFormat="1" applyFont="1" applyBorder="1"/>
    <xf numFmtId="173" fontId="53" fillId="14" borderId="41" xfId="2" applyNumberFormat="1" applyFont="1" applyFill="1" applyBorder="1" applyAlignment="1">
      <alignment horizontal="left" vertical="center"/>
    </xf>
    <xf numFmtId="173" fontId="53" fillId="14" borderId="42" xfId="2" applyNumberFormat="1" applyFont="1" applyFill="1" applyBorder="1" applyAlignment="1">
      <alignment vertical="center"/>
    </xf>
    <xf numFmtId="173" fontId="53" fillId="14" borderId="57" xfId="2" applyNumberFormat="1" applyFont="1" applyFill="1" applyBorder="1" applyAlignment="1">
      <alignment vertical="center"/>
    </xf>
    <xf numFmtId="173" fontId="49" fillId="0" borderId="4" xfId="6" applyNumberFormat="1" applyFont="1" applyBorder="1"/>
    <xf numFmtId="173" fontId="59" fillId="0" borderId="14" xfId="2" applyNumberFormat="1" applyFont="1" applyBorder="1" applyAlignment="1">
      <alignment vertical="center"/>
    </xf>
    <xf numFmtId="173" fontId="100" fillId="0" borderId="14" xfId="2" applyNumberFormat="1" applyFont="1" applyBorder="1" applyAlignment="1">
      <alignment vertical="center"/>
    </xf>
    <xf numFmtId="0" fontId="67" fillId="4" borderId="4" xfId="6" applyFont="1" applyFill="1" applyBorder="1" applyAlignment="1">
      <alignment horizontal="center" vertical="center"/>
    </xf>
    <xf numFmtId="173" fontId="79" fillId="0" borderId="4" xfId="2" applyNumberFormat="1" applyFont="1" applyBorder="1" applyAlignment="1">
      <alignment horizontal="center"/>
    </xf>
    <xf numFmtId="0" fontId="142" fillId="0" borderId="0" xfId="0" applyFont="1"/>
    <xf numFmtId="0" fontId="3" fillId="0" borderId="0" xfId="0" applyFont="1"/>
    <xf numFmtId="0" fontId="143" fillId="0" borderId="58" xfId="15" applyFont="1" applyFill="1" applyBorder="1"/>
    <xf numFmtId="0" fontId="144" fillId="0" borderId="0" xfId="0" applyFont="1" applyAlignment="1">
      <alignment horizontal="center"/>
    </xf>
    <xf numFmtId="0" fontId="145" fillId="0" borderId="0" xfId="0" applyFont="1"/>
    <xf numFmtId="0" fontId="142" fillId="0" borderId="4" xfId="0" applyFont="1" applyBorder="1" applyAlignment="1">
      <alignment horizontal="center"/>
    </xf>
    <xf numFmtId="0" fontId="146" fillId="0" borderId="0" xfId="0" applyFont="1" applyAlignment="1">
      <alignment horizontal="right"/>
    </xf>
    <xf numFmtId="0" fontId="88" fillId="0" borderId="0" xfId="0" applyFont="1" applyAlignment="1">
      <alignment horizontal="right"/>
    </xf>
    <xf numFmtId="0" fontId="147" fillId="0" borderId="59" xfId="0" applyFont="1" applyBorder="1" applyAlignment="1">
      <alignment horizontal="center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183" fontId="148" fillId="0" borderId="59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/>
    </xf>
    <xf numFmtId="0" fontId="149" fillId="6" borderId="1" xfId="0" applyFont="1" applyFill="1" applyBorder="1" applyAlignment="1">
      <alignment horizontal="center" vertical="center"/>
    </xf>
    <xf numFmtId="0" fontId="150" fillId="6" borderId="1" xfId="0" applyFont="1" applyFill="1" applyBorder="1" applyAlignment="1">
      <alignment horizontal="center" vertical="center"/>
    </xf>
    <xf numFmtId="0" fontId="105" fillId="6" borderId="1" xfId="0" applyFont="1" applyFill="1" applyBorder="1" applyAlignment="1">
      <alignment horizontal="center" vertical="center"/>
    </xf>
    <xf numFmtId="0" fontId="151" fillId="0" borderId="3" xfId="0" applyFont="1" applyBorder="1"/>
    <xf numFmtId="198" fontId="146" fillId="0" borderId="3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20" fontId="146" fillId="0" borderId="3" xfId="0" applyNumberFormat="1" applyFont="1" applyBorder="1" applyAlignment="1">
      <alignment horizontal="center"/>
    </xf>
    <xf numFmtId="0" fontId="151" fillId="0" borderId="3" xfId="0" applyFont="1" applyBorder="1" applyAlignment="1">
      <alignment horizontal="center"/>
    </xf>
    <xf numFmtId="0" fontId="152" fillId="0" borderId="3" xfId="0" applyFont="1" applyBorder="1" applyAlignment="1">
      <alignment horizontal="left"/>
    </xf>
    <xf numFmtId="0" fontId="151" fillId="0" borderId="0" xfId="0" applyFont="1"/>
    <xf numFmtId="198" fontId="146" fillId="0" borderId="0" xfId="0" applyNumberFormat="1" applyFont="1" applyAlignment="1">
      <alignment horizontal="center"/>
    </xf>
    <xf numFmtId="0" fontId="151" fillId="0" borderId="0" xfId="0" applyFont="1" applyAlignment="1">
      <alignment horizontal="center"/>
    </xf>
    <xf numFmtId="198" fontId="153" fillId="0" borderId="0" xfId="0" applyNumberFormat="1" applyFont="1" applyAlignment="1">
      <alignment horizontal="left"/>
    </xf>
    <xf numFmtId="0" fontId="149" fillId="6" borderId="60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51" fillId="0" borderId="61" xfId="0" applyFont="1" applyBorder="1" applyAlignment="1">
      <alignment horizontal="center"/>
    </xf>
    <xf numFmtId="0" fontId="83" fillId="0" borderId="3" xfId="0" applyFont="1" applyBorder="1" applyAlignment="1">
      <alignment horizontal="center"/>
    </xf>
    <xf numFmtId="199" fontId="152" fillId="0" borderId="3" xfId="0" applyNumberFormat="1" applyFont="1" applyBorder="1" applyAlignment="1">
      <alignment horizontal="left"/>
    </xf>
    <xf numFmtId="0" fontId="144" fillId="0" borderId="0" xfId="0" applyFont="1"/>
    <xf numFmtId="0" fontId="32" fillId="0" borderId="0" xfId="0" applyFont="1" applyAlignment="1">
      <alignment horizontal="center"/>
    </xf>
    <xf numFmtId="20" fontId="146" fillId="0" borderId="0" xfId="0" applyNumberFormat="1" applyFont="1" applyAlignment="1">
      <alignment horizontal="center"/>
    </xf>
    <xf numFmtId="189" fontId="149" fillId="0" borderId="0" xfId="0" applyNumberFormat="1" applyFont="1" applyAlignment="1">
      <alignment horizont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5" fillId="0" borderId="4" xfId="0" applyFont="1" applyBorder="1" applyAlignment="1">
      <alignment horizontal="center"/>
    </xf>
    <xf numFmtId="0" fontId="55" fillId="0" borderId="4" xfId="0" applyFont="1" applyBorder="1"/>
    <xf numFmtId="0" fontId="55" fillId="0" borderId="4" xfId="0" applyFont="1" applyBorder="1" applyAlignment="1">
      <alignment horizontal="center"/>
    </xf>
    <xf numFmtId="16" fontId="152" fillId="0" borderId="4" xfId="0" applyNumberFormat="1" applyFont="1" applyBorder="1" applyAlignment="1">
      <alignment horizontal="center"/>
    </xf>
    <xf numFmtId="0" fontId="145" fillId="0" borderId="4" xfId="0" applyFont="1" applyBorder="1" applyAlignment="1">
      <alignment horizontal="center"/>
    </xf>
    <xf numFmtId="0" fontId="156" fillId="0" borderId="4" xfId="0" applyFont="1" applyBorder="1" applyAlignment="1">
      <alignment horizontal="center"/>
    </xf>
    <xf numFmtId="16" fontId="157" fillId="0" borderId="4" xfId="0" applyNumberFormat="1" applyFont="1" applyBorder="1" applyAlignment="1">
      <alignment horizontal="center"/>
    </xf>
    <xf numFmtId="16" fontId="145" fillId="0" borderId="4" xfId="0" applyNumberFormat="1" applyFont="1" applyBorder="1" applyAlignment="1">
      <alignment horizontal="center"/>
    </xf>
    <xf numFmtId="199" fontId="88" fillId="0" borderId="6" xfId="0" applyNumberFormat="1" applyFont="1" applyBorder="1" applyAlignment="1">
      <alignment horizontal="left"/>
    </xf>
    <xf numFmtId="199" fontId="88" fillId="0" borderId="9" xfId="0" applyNumberFormat="1" applyFont="1" applyBorder="1" applyAlignment="1">
      <alignment horizontal="left"/>
    </xf>
    <xf numFmtId="0" fontId="152" fillId="0" borderId="4" xfId="0" applyFont="1" applyBorder="1"/>
    <xf numFmtId="16" fontId="158" fillId="0" borderId="4" xfId="0" applyNumberFormat="1" applyFont="1" applyBorder="1" applyAlignment="1">
      <alignment horizontal="center"/>
    </xf>
    <xf numFmtId="0" fontId="152" fillId="0" borderId="6" xfId="0" applyFont="1" applyBorder="1"/>
    <xf numFmtId="0" fontId="152" fillId="0" borderId="9" xfId="0" applyFont="1" applyBorder="1"/>
    <xf numFmtId="0" fontId="151" fillId="0" borderId="4" xfId="0" applyFont="1" applyBorder="1" applyAlignment="1">
      <alignment horizontal="center"/>
    </xf>
    <xf numFmtId="0" fontId="145" fillId="0" borderId="63" xfId="0" applyFont="1" applyBorder="1"/>
    <xf numFmtId="0" fontId="3" fillId="0" borderId="22" xfId="0" applyFont="1" applyBorder="1"/>
    <xf numFmtId="0" fontId="88" fillId="0" borderId="63" xfId="0" applyFont="1" applyBorder="1" applyAlignment="1">
      <alignment horizontal="center"/>
    </xf>
    <xf numFmtId="0" fontId="55" fillId="0" borderId="22" xfId="0" applyFont="1" applyBorder="1"/>
    <xf numFmtId="0" fontId="19" fillId="0" borderId="1" xfId="0" applyFont="1" applyBorder="1" applyAlignment="1">
      <alignment horizontal="center"/>
    </xf>
    <xf numFmtId="0" fontId="55" fillId="0" borderId="22" xfId="0" applyFont="1" applyBorder="1" applyAlignment="1">
      <alignment horizontal="right"/>
    </xf>
    <xf numFmtId="200" fontId="145" fillId="0" borderId="22" xfId="0" applyNumberFormat="1" applyFont="1" applyBorder="1"/>
    <xf numFmtId="0" fontId="88" fillId="0" borderId="22" xfId="0" applyFont="1" applyBorder="1"/>
    <xf numFmtId="0" fontId="13" fillId="6" borderId="20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3" fillId="6" borderId="21" xfId="0" applyFont="1" applyFill="1" applyBorder="1" applyAlignment="1">
      <alignment vertical="center"/>
    </xf>
    <xf numFmtId="201" fontId="55" fillId="0" borderId="3" xfId="0" applyNumberFormat="1" applyFont="1" applyBorder="1" applyAlignment="1">
      <alignment horizontal="left"/>
    </xf>
    <xf numFmtId="20" fontId="55" fillId="0" borderId="3" xfId="0" applyNumberFormat="1" applyFont="1" applyBorder="1" applyAlignment="1">
      <alignment horizontal="center"/>
    </xf>
    <xf numFmtId="0" fontId="152" fillId="0" borderId="3" xfId="0" applyFont="1" applyBorder="1" applyAlignment="1">
      <alignment horizontal="center"/>
    </xf>
    <xf numFmtId="199" fontId="55" fillId="0" borderId="64" xfId="0" applyNumberFormat="1" applyFont="1" applyBorder="1" applyAlignment="1">
      <alignment horizontal="left"/>
    </xf>
    <xf numFmtId="0" fontId="3" fillId="0" borderId="48" xfId="0" applyFont="1" applyBorder="1"/>
    <xf numFmtId="199" fontId="55" fillId="0" borderId="6" xfId="0" applyNumberFormat="1" applyFont="1" applyBorder="1" applyAlignment="1">
      <alignment horizontal="left"/>
    </xf>
    <xf numFmtId="0" fontId="3" fillId="0" borderId="52" xfId="0" applyFont="1" applyBorder="1"/>
    <xf numFmtId="199" fontId="145" fillId="0" borderId="6" xfId="0" applyNumberFormat="1" applyFont="1" applyBorder="1" applyAlignment="1">
      <alignment horizontal="left"/>
    </xf>
    <xf numFmtId="193" fontId="88" fillId="0" borderId="6" xfId="0" applyNumberFormat="1" applyFont="1" applyBorder="1" applyAlignment="1">
      <alignment horizontal="left" vertical="center"/>
    </xf>
    <xf numFmtId="0" fontId="83" fillId="0" borderId="52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9" xfId="0" applyBorder="1" applyAlignment="1">
      <alignment horizontal="left"/>
    </xf>
    <xf numFmtId="0" fontId="159" fillId="0" borderId="0" xfId="6" applyFont="1"/>
    <xf numFmtId="0" fontId="159" fillId="0" borderId="0" xfId="6" applyFont="1" applyAlignment="1">
      <alignment horizontal="right"/>
    </xf>
    <xf numFmtId="0" fontId="110" fillId="4" borderId="4" xfId="0" applyFont="1" applyFill="1" applyBorder="1" applyAlignment="1">
      <alignment vertical="center" wrapText="1"/>
    </xf>
    <xf numFmtId="0" fontId="50" fillId="0" borderId="0" xfId="6" applyFont="1"/>
    <xf numFmtId="0" fontId="52" fillId="0" borderId="4" xfId="1" applyNumberFormat="1" applyFont="1" applyBorder="1"/>
    <xf numFmtId="173" fontId="50" fillId="0" borderId="4" xfId="2" applyNumberFormat="1" applyFont="1" applyBorder="1" applyAlignment="1">
      <alignment horizontal="center" vertical="center"/>
    </xf>
    <xf numFmtId="164" fontId="16" fillId="0" borderId="4" xfId="6" applyNumberFormat="1" applyFont="1" applyBorder="1" applyAlignment="1">
      <alignment vertical="center"/>
    </xf>
    <xf numFmtId="164" fontId="50" fillId="0" borderId="4" xfId="6" applyNumberFormat="1" applyFont="1" applyBorder="1" applyAlignment="1">
      <alignment vertical="center"/>
    </xf>
    <xf numFmtId="173" fontId="71" fillId="14" borderId="67" xfId="2" applyNumberFormat="1" applyFont="1" applyFill="1" applyBorder="1" applyAlignment="1">
      <alignment horizontal="center"/>
    </xf>
    <xf numFmtId="173" fontId="71" fillId="14" borderId="10" xfId="2" applyNumberFormat="1" applyFont="1" applyFill="1" applyBorder="1" applyAlignment="1">
      <alignment horizontal="center"/>
    </xf>
    <xf numFmtId="173" fontId="71" fillId="14" borderId="68" xfId="2" applyNumberFormat="1" applyFont="1" applyFill="1" applyBorder="1" applyAlignment="1">
      <alignment horizontal="center"/>
    </xf>
    <xf numFmtId="0" fontId="160" fillId="8" borderId="0" xfId="0" applyFont="1" applyFill="1" applyAlignment="1">
      <alignment horizontal="center"/>
    </xf>
    <xf numFmtId="0" fontId="161" fillId="8" borderId="0" xfId="0" applyFont="1" applyFill="1" applyAlignment="1">
      <alignment horizontal="center"/>
    </xf>
    <xf numFmtId="0" fontId="162" fillId="0" borderId="0" xfId="6" applyFont="1" applyAlignment="1">
      <alignment horizontal="right"/>
    </xf>
    <xf numFmtId="189" fontId="163" fillId="8" borderId="38" xfId="0" applyNumberFormat="1" applyFont="1" applyFill="1" applyBorder="1" applyAlignment="1">
      <alignment horizontal="center"/>
    </xf>
    <xf numFmtId="0" fontId="29" fillId="0" borderId="4" xfId="6" applyFont="1" applyBorder="1" applyAlignment="1">
      <alignment vertical="center"/>
    </xf>
    <xf numFmtId="181" fontId="50" fillId="0" borderId="0" xfId="2" applyNumberFormat="1" applyFont="1"/>
    <xf numFmtId="0" fontId="50" fillId="0" borderId="0" xfId="6" applyFont="1" applyAlignment="1">
      <alignment horizontal="right"/>
    </xf>
    <xf numFmtId="184" fontId="50" fillId="0" borderId="0" xfId="2" applyNumberFormat="1" applyFont="1"/>
    <xf numFmtId="0" fontId="94" fillId="0" borderId="2" xfId="6" applyFont="1" applyBorder="1" applyAlignment="1">
      <alignment horizontal="right"/>
    </xf>
    <xf numFmtId="9" fontId="53" fillId="0" borderId="2" xfId="6" applyNumberFormat="1" applyFont="1" applyBorder="1" applyAlignment="1">
      <alignment horizontal="center"/>
    </xf>
    <xf numFmtId="0" fontId="53" fillId="0" borderId="20" xfId="6" applyFont="1" applyBorder="1" applyAlignment="1">
      <alignment horizontal="right"/>
    </xf>
    <xf numFmtId="0" fontId="53" fillId="0" borderId="21" xfId="6" applyFont="1" applyBorder="1" applyAlignment="1">
      <alignment horizontal="center"/>
    </xf>
    <xf numFmtId="173" fontId="53" fillId="0" borderId="0" xfId="2" applyNumberFormat="1" applyFont="1"/>
    <xf numFmtId="0" fontId="165" fillId="0" borderId="0" xfId="6" applyFont="1"/>
    <xf numFmtId="0" fontId="167" fillId="0" borderId="0" xfId="0" applyFont="1" applyAlignment="1">
      <alignment horizontal="right"/>
    </xf>
    <xf numFmtId="0" fontId="84" fillId="4" borderId="3" xfId="0" applyFont="1" applyFill="1" applyBorder="1" applyAlignment="1">
      <alignment vertical="center"/>
    </xf>
    <xf numFmtId="167" fontId="12" fillId="0" borderId="3" xfId="10" applyFont="1" applyBorder="1" applyAlignment="1">
      <alignment horizontal="center" vertical="center" wrapText="1"/>
    </xf>
    <xf numFmtId="49" fontId="88" fillId="0" borderId="3" xfId="10" applyNumberFormat="1" applyFont="1" applyBorder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168" fillId="21" borderId="5" xfId="13" applyFont="1" applyBorder="1" applyAlignment="1">
      <alignment horizontal="center"/>
    </xf>
    <xf numFmtId="0" fontId="169" fillId="31" borderId="5" xfId="16" applyFont="1" applyFill="1" applyBorder="1" applyAlignment="1">
      <alignment horizontal="center"/>
    </xf>
    <xf numFmtId="0" fontId="170" fillId="0" borderId="0" xfId="6" applyFont="1" applyAlignment="1">
      <alignment vertical="top"/>
    </xf>
    <xf numFmtId="173" fontId="53" fillId="14" borderId="32" xfId="2" applyNumberFormat="1" applyFont="1" applyFill="1" applyBorder="1"/>
    <xf numFmtId="173" fontId="53" fillId="14" borderId="33" xfId="2" applyNumberFormat="1" applyFont="1" applyFill="1" applyBorder="1"/>
    <xf numFmtId="173" fontId="53" fillId="14" borderId="34" xfId="2" applyNumberFormat="1" applyFont="1" applyFill="1" applyBorder="1"/>
    <xf numFmtId="202" fontId="171" fillId="14" borderId="3" xfId="6" applyNumberFormat="1" applyFont="1" applyFill="1" applyBorder="1" applyAlignment="1">
      <alignment horizontal="center"/>
    </xf>
    <xf numFmtId="3" fontId="52" fillId="19" borderId="20" xfId="1" applyNumberFormat="1" applyFont="1" applyFill="1" applyBorder="1" applyAlignment="1">
      <alignment horizontal="center" vertical="center"/>
    </xf>
    <xf numFmtId="3" fontId="52" fillId="19" borderId="21" xfId="1" applyNumberFormat="1" applyFont="1" applyFill="1" applyBorder="1" applyAlignment="1">
      <alignment horizontal="center" vertical="center"/>
    </xf>
    <xf numFmtId="3" fontId="52" fillId="17" borderId="2" xfId="1" applyNumberFormat="1" applyFont="1" applyFill="1" applyBorder="1" applyAlignment="1">
      <alignment horizontal="center" vertical="center"/>
    </xf>
    <xf numFmtId="3" fontId="52" fillId="17" borderId="21" xfId="1" applyNumberFormat="1" applyFont="1" applyFill="1" applyBorder="1" applyAlignment="1">
      <alignment horizontal="center" vertical="center"/>
    </xf>
    <xf numFmtId="3" fontId="52" fillId="18" borderId="2" xfId="1" applyNumberFormat="1" applyFont="1" applyFill="1" applyBorder="1" applyAlignment="1">
      <alignment horizontal="center" vertical="center"/>
    </xf>
    <xf numFmtId="3" fontId="52" fillId="18" borderId="21" xfId="1" applyNumberFormat="1" applyFont="1" applyFill="1" applyBorder="1" applyAlignment="1">
      <alignment horizontal="center" vertical="center"/>
    </xf>
    <xf numFmtId="3" fontId="52" fillId="7" borderId="26" xfId="1" applyNumberFormat="1" applyFont="1" applyFill="1" applyBorder="1" applyAlignment="1">
      <alignment horizontal="center"/>
    </xf>
    <xf numFmtId="3" fontId="52" fillId="7" borderId="17" xfId="1" applyNumberFormat="1" applyFont="1" applyFill="1" applyBorder="1" applyAlignment="1">
      <alignment horizontal="center"/>
    </xf>
    <xf numFmtId="3" fontId="52" fillId="7" borderId="18" xfId="1" applyNumberFormat="1" applyFont="1" applyFill="1" applyBorder="1" applyAlignment="1">
      <alignment horizontal="center"/>
    </xf>
    <xf numFmtId="168" fontId="57" fillId="28" borderId="1" xfId="1" applyNumberFormat="1" applyFont="1" applyFill="1" applyBorder="1"/>
    <xf numFmtId="0" fontId="172" fillId="0" borderId="0" xfId="6" applyFont="1"/>
    <xf numFmtId="0" fontId="173" fillId="0" borderId="0" xfId="9" applyFont="1"/>
    <xf numFmtId="0" fontId="174" fillId="0" borderId="0" xfId="0" applyFont="1" applyAlignment="1">
      <alignment horizontal="right"/>
    </xf>
    <xf numFmtId="15" fontId="175" fillId="3" borderId="4" xfId="0" applyNumberFormat="1" applyFont="1" applyFill="1" applyBorder="1" applyAlignment="1">
      <alignment horizontal="center" vertical="center" wrapText="1"/>
    </xf>
    <xf numFmtId="0" fontId="67" fillId="4" borderId="3" xfId="6" applyFont="1" applyFill="1" applyBorder="1" applyAlignment="1">
      <alignment horizontal="center" vertical="center"/>
    </xf>
    <xf numFmtId="166" fontId="65" fillId="0" borderId="3" xfId="2" applyFont="1" applyBorder="1" applyAlignment="1">
      <alignment horizontal="center"/>
    </xf>
    <xf numFmtId="166" fontId="49" fillId="0" borderId="4" xfId="6" applyNumberFormat="1" applyFont="1" applyBorder="1" applyAlignment="1">
      <alignment horizontal="center"/>
    </xf>
    <xf numFmtId="203" fontId="0" fillId="0" borderId="0" xfId="0" applyNumberFormat="1"/>
    <xf numFmtId="20" fontId="0" fillId="0" borderId="0" xfId="0" applyNumberFormat="1"/>
    <xf numFmtId="0" fontId="176" fillId="0" borderId="58" xfId="15" applyFont="1" applyFill="1" applyBorder="1"/>
    <xf numFmtId="0" fontId="177" fillId="0" borderId="4" xfId="0" applyFont="1" applyBorder="1" applyAlignment="1">
      <alignment horizontal="center"/>
    </xf>
    <xf numFmtId="201" fontId="55" fillId="0" borderId="4" xfId="0" applyNumberFormat="1" applyFont="1" applyBorder="1" applyAlignment="1">
      <alignment horizontal="left"/>
    </xf>
    <xf numFmtId="20" fontId="55" fillId="0" borderId="4" xfId="0" applyNumberFormat="1" applyFont="1" applyBorder="1" applyAlignment="1">
      <alignment horizontal="center"/>
    </xf>
    <xf numFmtId="0" fontId="152" fillId="0" borderId="4" xfId="0" applyFont="1" applyBorder="1" applyAlignment="1">
      <alignment horizontal="center"/>
    </xf>
    <xf numFmtId="199" fontId="55" fillId="0" borderId="4" xfId="0" applyNumberFormat="1" applyFont="1" applyBorder="1" applyAlignment="1">
      <alignment horizontal="left"/>
    </xf>
    <xf numFmtId="0" fontId="178" fillId="0" borderId="0" xfId="0" applyFont="1" applyAlignment="1">
      <alignment horizontal="center" vertical="top"/>
    </xf>
    <xf numFmtId="0" fontId="3" fillId="32" borderId="0" xfId="0" applyFont="1" applyFill="1"/>
    <xf numFmtId="183" fontId="57" fillId="32" borderId="0" xfId="0" applyNumberFormat="1" applyFont="1" applyFill="1" applyAlignment="1">
      <alignment horizontal="center"/>
    </xf>
    <xf numFmtId="199" fontId="55" fillId="0" borderId="52" xfId="0" applyNumberFormat="1" applyFont="1" applyBorder="1" applyAlignment="1">
      <alignment horizontal="left"/>
    </xf>
    <xf numFmtId="0" fontId="179" fillId="0" borderId="1" xfId="6" applyFont="1" applyBorder="1" applyAlignment="1">
      <alignment horizontal="center" vertical="center"/>
    </xf>
    <xf numFmtId="0" fontId="39" fillId="0" borderId="1" xfId="6" applyFont="1" applyBorder="1" applyAlignment="1">
      <alignment horizontal="center" vertical="center"/>
    </xf>
    <xf numFmtId="0" fontId="179" fillId="3" borderId="1" xfId="6" applyFont="1" applyFill="1" applyBorder="1" applyAlignment="1">
      <alignment horizontal="center" vertical="center"/>
    </xf>
    <xf numFmtId="167" fontId="46" fillId="0" borderId="20" xfId="1" applyFont="1" applyBorder="1" applyAlignment="1">
      <alignment horizontal="center" vertical="center"/>
    </xf>
    <xf numFmtId="0" fontId="169" fillId="0" borderId="5" xfId="16" applyFont="1" applyFill="1" applyBorder="1" applyAlignment="1">
      <alignment horizontal="center"/>
    </xf>
    <xf numFmtId="0" fontId="46" fillId="12" borderId="5" xfId="13" applyFont="1" applyFill="1" applyBorder="1" applyAlignment="1">
      <alignment horizontal="center"/>
    </xf>
    <xf numFmtId="189" fontId="179" fillId="0" borderId="21" xfId="1" applyNumberFormat="1" applyFont="1" applyBorder="1" applyAlignment="1">
      <alignment horizontal="center" vertical="center"/>
    </xf>
    <xf numFmtId="173" fontId="52" fillId="0" borderId="4" xfId="8" applyNumberFormat="1" applyFont="1" applyFill="1" applyBorder="1" applyAlignment="1">
      <alignment horizontal="center"/>
    </xf>
    <xf numFmtId="0" fontId="180" fillId="0" borderId="0" xfId="6" applyFont="1" applyAlignment="1">
      <alignment horizontal="center"/>
    </xf>
    <xf numFmtId="0" fontId="4" fillId="33" borderId="62" xfId="6" applyFont="1" applyFill="1" applyBorder="1"/>
    <xf numFmtId="0" fontId="4" fillId="33" borderId="9" xfId="6" applyFont="1" applyFill="1" applyBorder="1"/>
    <xf numFmtId="16" fontId="49" fillId="0" borderId="14" xfId="6" applyNumberFormat="1" applyFont="1" applyBorder="1"/>
    <xf numFmtId="0" fontId="58" fillId="4" borderId="14" xfId="6" applyFont="1" applyFill="1" applyBorder="1" applyAlignment="1">
      <alignment horizontal="center" vertical="center"/>
    </xf>
    <xf numFmtId="173" fontId="67" fillId="0" borderId="14" xfId="2" applyNumberFormat="1" applyFont="1" applyBorder="1" applyAlignment="1">
      <alignment horizontal="center"/>
    </xf>
    <xf numFmtId="164" fontId="50" fillId="0" borderId="14" xfId="6" applyNumberFormat="1" applyFont="1" applyBorder="1"/>
    <xf numFmtId="0" fontId="29" fillId="0" borderId="14" xfId="6" applyFont="1" applyBorder="1"/>
    <xf numFmtId="185" fontId="181" fillId="4" borderId="4" xfId="6" applyNumberFormat="1" applyFont="1" applyFill="1" applyBorder="1" applyAlignment="1">
      <alignment horizontal="center" vertical="center"/>
    </xf>
    <xf numFmtId="178" fontId="182" fillId="4" borderId="4" xfId="1" applyNumberFormat="1" applyFont="1" applyFill="1" applyBorder="1" applyAlignment="1">
      <alignment horizontal="center"/>
    </xf>
    <xf numFmtId="168" fontId="42" fillId="28" borderId="12" xfId="1" applyNumberFormat="1" applyFont="1" applyFill="1" applyBorder="1" applyAlignment="1">
      <alignment vertical="center"/>
    </xf>
    <xf numFmtId="168" fontId="42" fillId="11" borderId="35" xfId="1" applyNumberFormat="1" applyFont="1" applyFill="1" applyBorder="1" applyAlignment="1">
      <alignment vertical="center"/>
    </xf>
    <xf numFmtId="168" fontId="42" fillId="18" borderId="35" xfId="1" applyNumberFormat="1" applyFont="1" applyFill="1" applyBorder="1" applyAlignment="1">
      <alignment vertical="center"/>
    </xf>
    <xf numFmtId="0" fontId="4" fillId="33" borderId="69" xfId="6" applyFont="1" applyFill="1" applyBorder="1" applyAlignment="1">
      <alignment horizontal="left"/>
    </xf>
    <xf numFmtId="0" fontId="4" fillId="33" borderId="70" xfId="6" applyFont="1" applyFill="1" applyBorder="1" applyAlignment="1">
      <alignment horizontal="left"/>
    </xf>
    <xf numFmtId="173" fontId="53" fillId="12" borderId="27" xfId="6" applyNumberFormat="1" applyFont="1" applyFill="1" applyBorder="1"/>
    <xf numFmtId="168" fontId="106" fillId="34" borderId="18" xfId="1" applyNumberFormat="1" applyFont="1" applyFill="1" applyBorder="1" applyAlignment="1">
      <alignment horizontal="center" vertical="center"/>
    </xf>
    <xf numFmtId="0" fontId="85" fillId="4" borderId="4" xfId="0" applyFont="1" applyFill="1" applyBorder="1" applyAlignment="1">
      <alignment vertical="center"/>
    </xf>
    <xf numFmtId="0" fontId="86" fillId="32" borderId="0" xfId="0" applyFont="1" applyFill="1" applyAlignment="1">
      <alignment horizontal="center"/>
    </xf>
    <xf numFmtId="173" fontId="49" fillId="0" borderId="9" xfId="1" applyNumberFormat="1" applyFont="1" applyBorder="1"/>
    <xf numFmtId="199" fontId="66" fillId="16" borderId="6" xfId="8" applyNumberFormat="1" applyBorder="1" applyAlignment="1">
      <alignment horizontal="left"/>
    </xf>
    <xf numFmtId="16" fontId="50" fillId="0" borderId="4" xfId="0" applyNumberFormat="1" applyFont="1" applyBorder="1" applyAlignment="1">
      <alignment horizontal="center"/>
    </xf>
    <xf numFmtId="0" fontId="53" fillId="0" borderId="0" xfId="0" applyFont="1"/>
    <xf numFmtId="0" fontId="39" fillId="0" borderId="0" xfId="6" applyFont="1"/>
    <xf numFmtId="0" fontId="42" fillId="0" borderId="0" xfId="6" applyFont="1" applyAlignment="1">
      <alignment horizontal="center"/>
    </xf>
    <xf numFmtId="0" fontId="39" fillId="0" borderId="2" xfId="6" applyFont="1" applyBorder="1"/>
    <xf numFmtId="164" fontId="44" fillId="0" borderId="27" xfId="1" applyNumberFormat="1" applyFont="1" applyBorder="1"/>
    <xf numFmtId="173" fontId="42" fillId="0" borderId="3" xfId="6" applyNumberFormat="1" applyFont="1" applyBorder="1"/>
    <xf numFmtId="164" fontId="44" fillId="0" borderId="3" xfId="1" applyNumberFormat="1" applyFont="1" applyBorder="1"/>
    <xf numFmtId="164" fontId="48" fillId="0" borderId="4" xfId="1" applyNumberFormat="1" applyFont="1" applyBorder="1"/>
    <xf numFmtId="0" fontId="39" fillId="12" borderId="4" xfId="6" applyFont="1" applyFill="1" applyBorder="1"/>
    <xf numFmtId="164" fontId="44" fillId="0" borderId="6" xfId="1" applyNumberFormat="1" applyFont="1" applyBorder="1"/>
    <xf numFmtId="204" fontId="48" fillId="0" borderId="71" xfId="1" quotePrefix="1" applyNumberFormat="1" applyFont="1" applyBorder="1" applyAlignment="1">
      <alignment horizontal="center"/>
    </xf>
    <xf numFmtId="9" fontId="132" fillId="12" borderId="4" xfId="6" applyNumberFormat="1" applyFont="1" applyFill="1" applyBorder="1" applyAlignment="1">
      <alignment horizontal="left"/>
    </xf>
    <xf numFmtId="173" fontId="42" fillId="12" borderId="4" xfId="6" applyNumberFormat="1" applyFont="1" applyFill="1" applyBorder="1"/>
    <xf numFmtId="164" fontId="48" fillId="12" borderId="72" xfId="1" applyNumberFormat="1" applyFont="1" applyFill="1" applyBorder="1"/>
    <xf numFmtId="1" fontId="4" fillId="0" borderId="0" xfId="6" applyNumberFormat="1" applyFont="1"/>
    <xf numFmtId="9" fontId="132" fillId="4" borderId="4" xfId="6" applyNumberFormat="1" applyFont="1" applyFill="1" applyBorder="1" applyAlignment="1">
      <alignment horizontal="left"/>
    </xf>
    <xf numFmtId="204" fontId="131" fillId="0" borderId="4" xfId="1" quotePrefix="1" applyNumberFormat="1" applyFont="1" applyBorder="1" applyAlignment="1">
      <alignment horizontal="center"/>
    </xf>
    <xf numFmtId="0" fontId="39" fillId="0" borderId="4" xfId="6" applyFont="1" applyBorder="1"/>
    <xf numFmtId="16" fontId="16" fillId="35" borderId="0" xfId="6" applyNumberFormat="1" applyFont="1" applyFill="1"/>
    <xf numFmtId="9" fontId="38" fillId="35" borderId="0" xfId="6" applyNumberFormat="1" applyFont="1" applyFill="1"/>
    <xf numFmtId="0" fontId="4" fillId="35" borderId="0" xfId="6" applyFont="1" applyFill="1"/>
    <xf numFmtId="0" fontId="42" fillId="0" borderId="0" xfId="6" applyFont="1"/>
    <xf numFmtId="0" fontId="42" fillId="0" borderId="25" xfId="6" applyFont="1" applyBorder="1"/>
    <xf numFmtId="0" fontId="4" fillId="0" borderId="50" xfId="6" applyFont="1" applyBorder="1"/>
    <xf numFmtId="186" fontId="183" fillId="0" borderId="73" xfId="6" applyNumberFormat="1" applyFont="1" applyBorder="1"/>
    <xf numFmtId="9" fontId="37" fillId="4" borderId="1" xfId="6" applyNumberFormat="1" applyFont="1" applyFill="1" applyBorder="1" applyAlignment="1">
      <alignment horizontal="center"/>
    </xf>
    <xf numFmtId="17" fontId="154" fillId="36" borderId="1" xfId="1" quotePrefix="1" applyNumberFormat="1" applyFont="1" applyFill="1" applyBorder="1" applyAlignment="1">
      <alignment horizontal="center"/>
    </xf>
    <xf numFmtId="168" fontId="53" fillId="18" borderId="1" xfId="1" quotePrefix="1" applyNumberFormat="1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/>
    </xf>
    <xf numFmtId="164" fontId="16" fillId="0" borderId="7" xfId="1" applyNumberFormat="1" applyFont="1" applyBorder="1"/>
    <xf numFmtId="16" fontId="19" fillId="0" borderId="4" xfId="6" applyNumberFormat="1" applyFont="1" applyBorder="1"/>
    <xf numFmtId="164" fontId="34" fillId="0" borderId="4" xfId="6" quotePrefix="1" applyNumberFormat="1" applyFont="1" applyBorder="1" applyAlignment="1">
      <alignment horizontal="center" vertical="center"/>
    </xf>
    <xf numFmtId="9" fontId="184" fillId="4" borderId="3" xfId="6" applyNumberFormat="1" applyFont="1" applyFill="1" applyBorder="1" applyAlignment="1">
      <alignment horizontal="center"/>
    </xf>
    <xf numFmtId="9" fontId="185" fillId="4" borderId="4" xfId="6" applyNumberFormat="1" applyFont="1" applyFill="1" applyBorder="1"/>
    <xf numFmtId="164" fontId="34" fillId="0" borderId="4" xfId="6" applyNumberFormat="1" applyFont="1" applyBorder="1" applyAlignment="1">
      <alignment horizontal="left"/>
    </xf>
    <xf numFmtId="16" fontId="57" fillId="0" borderId="4" xfId="6" applyNumberFormat="1" applyFont="1" applyBorder="1"/>
    <xf numFmtId="173" fontId="14" fillId="0" borderId="4" xfId="6" applyNumberFormat="1" applyFont="1" applyBorder="1"/>
    <xf numFmtId="0" fontId="14" fillId="0" borderId="4" xfId="6" applyFont="1" applyBorder="1" applyAlignment="1">
      <alignment horizontal="center"/>
    </xf>
    <xf numFmtId="178" fontId="57" fillId="0" borderId="4" xfId="1" applyNumberFormat="1" applyFont="1" applyBorder="1"/>
    <xf numFmtId="9" fontId="14" fillId="0" borderId="4" xfId="7" applyFont="1" applyBorder="1"/>
    <xf numFmtId="173" fontId="50" fillId="0" borderId="4" xfId="6" applyNumberFormat="1" applyFont="1" applyBorder="1"/>
    <xf numFmtId="9" fontId="93" fillId="4" borderId="4" xfId="6" applyNumberFormat="1" applyFont="1" applyFill="1" applyBorder="1" applyAlignment="1">
      <alignment horizontal="center"/>
    </xf>
    <xf numFmtId="9" fontId="93" fillId="4" borderId="4" xfId="6" applyNumberFormat="1" applyFont="1" applyFill="1" applyBorder="1"/>
    <xf numFmtId="168" fontId="106" fillId="18" borderId="1" xfId="1" applyNumberFormat="1" applyFont="1" applyFill="1" applyBorder="1" applyAlignment="1">
      <alignment horizontal="center" vertical="center"/>
    </xf>
    <xf numFmtId="168" fontId="106" fillId="7" borderId="1" xfId="1" applyNumberFormat="1" applyFont="1" applyFill="1" applyBorder="1" applyAlignment="1">
      <alignment horizontal="center" vertical="center"/>
    </xf>
    <xf numFmtId="178" fontId="185" fillId="12" borderId="4" xfId="6" applyNumberFormat="1" applyFont="1" applyFill="1" applyBorder="1"/>
    <xf numFmtId="173" fontId="185" fillId="12" borderId="4" xfId="2" applyNumberFormat="1" applyFont="1" applyFill="1" applyBorder="1"/>
    <xf numFmtId="173" fontId="19" fillId="12" borderId="4" xfId="6" applyNumberFormat="1" applyFont="1" applyFill="1" applyBorder="1"/>
    <xf numFmtId="178" fontId="57" fillId="0" borderId="1" xfId="1" applyNumberFormat="1" applyFont="1" applyBorder="1"/>
    <xf numFmtId="178" fontId="145" fillId="12" borderId="1" xfId="1" applyNumberFormat="1" applyFont="1" applyFill="1" applyBorder="1"/>
    <xf numFmtId="173" fontId="14" fillId="0" borderId="3" xfId="6" applyNumberFormat="1" applyFont="1" applyBorder="1" applyAlignment="1">
      <alignment horizontal="right"/>
    </xf>
    <xf numFmtId="173" fontId="14" fillId="0" borderId="3" xfId="6" applyNumberFormat="1" applyFont="1" applyBorder="1"/>
    <xf numFmtId="16" fontId="53" fillId="0" borderId="74" xfId="6" applyNumberFormat="1" applyFont="1" applyBorder="1"/>
    <xf numFmtId="9" fontId="38" fillId="4" borderId="74" xfId="6" applyNumberFormat="1" applyFont="1" applyFill="1" applyBorder="1"/>
    <xf numFmtId="0" fontId="4" fillId="0" borderId="74" xfId="6" applyFont="1" applyBorder="1"/>
    <xf numFmtId="173" fontId="14" fillId="0" borderId="0" xfId="6" applyNumberFormat="1" applyFont="1"/>
    <xf numFmtId="178" fontId="145" fillId="12" borderId="4" xfId="1" applyNumberFormat="1" applyFont="1" applyFill="1" applyBorder="1"/>
    <xf numFmtId="16" fontId="16" fillId="0" borderId="74" xfId="6" applyNumberFormat="1" applyFont="1" applyBorder="1"/>
    <xf numFmtId="205" fontId="50" fillId="0" borderId="4" xfId="6" applyNumberFormat="1" applyFont="1" applyBorder="1"/>
    <xf numFmtId="182" fontId="7" fillId="0" borderId="0" xfId="6" applyNumberFormat="1" applyFont="1" applyAlignment="1">
      <alignment horizontal="center" vertical="center"/>
    </xf>
    <xf numFmtId="182" fontId="7" fillId="0" borderId="22" xfId="6" applyNumberFormat="1" applyFont="1" applyBorder="1" applyAlignment="1">
      <alignment horizontal="center" vertical="center"/>
    </xf>
    <xf numFmtId="16" fontId="186" fillId="35" borderId="0" xfId="6" applyNumberFormat="1" applyFont="1" applyFill="1"/>
    <xf numFmtId="173" fontId="42" fillId="0" borderId="20" xfId="6" applyNumberFormat="1" applyFont="1" applyBorder="1" applyAlignment="1">
      <alignment horizontal="center"/>
    </xf>
    <xf numFmtId="173" fontId="42" fillId="0" borderId="2" xfId="6" applyNumberFormat="1" applyFont="1" applyBorder="1" applyAlignment="1">
      <alignment horizontal="center"/>
    </xf>
    <xf numFmtId="173" fontId="42" fillId="0" borderId="21" xfId="6" applyNumberFormat="1" applyFont="1" applyBorder="1" applyAlignment="1">
      <alignment horizontal="center"/>
    </xf>
    <xf numFmtId="0" fontId="164" fillId="15" borderId="0" xfId="0" applyFont="1" applyFill="1" applyAlignment="1">
      <alignment horizontal="center"/>
    </xf>
    <xf numFmtId="182" fontId="7" fillId="0" borderId="0" xfId="6" applyNumberFormat="1" applyFont="1" applyAlignment="1">
      <alignment horizontal="center" vertical="center"/>
    </xf>
    <xf numFmtId="182" fontId="7" fillId="0" borderId="22" xfId="6" applyNumberFormat="1" applyFont="1" applyBorder="1" applyAlignment="1">
      <alignment horizontal="center" vertical="center"/>
    </xf>
    <xf numFmtId="0" fontId="52" fillId="32" borderId="20" xfId="6" applyFont="1" applyFill="1" applyBorder="1" applyAlignment="1">
      <alignment horizontal="center" vertical="center"/>
    </xf>
    <xf numFmtId="0" fontId="52" fillId="32" borderId="2" xfId="6" applyFont="1" applyFill="1" applyBorder="1" applyAlignment="1">
      <alignment horizontal="center" vertical="center"/>
    </xf>
    <xf numFmtId="10" fontId="53" fillId="32" borderId="0" xfId="7" applyNumberFormat="1" applyFont="1" applyFill="1" applyAlignment="1">
      <alignment horizontal="center"/>
    </xf>
    <xf numFmtId="168" fontId="46" fillId="7" borderId="23" xfId="1" applyNumberFormat="1" applyFont="1" applyFill="1" applyBorder="1" applyAlignment="1">
      <alignment horizontal="center" vertical="center"/>
    </xf>
    <xf numFmtId="168" fontId="46" fillId="7" borderId="24" xfId="1" applyNumberFormat="1" applyFont="1" applyFill="1" applyBorder="1" applyAlignment="1">
      <alignment horizontal="center" vertical="center"/>
    </xf>
    <xf numFmtId="168" fontId="46" fillId="18" borderId="23" xfId="1" applyNumberFormat="1" applyFont="1" applyFill="1" applyBorder="1" applyAlignment="1">
      <alignment horizontal="center" vertical="center"/>
    </xf>
    <xf numFmtId="168" fontId="46" fillId="18" borderId="24" xfId="1" applyNumberFormat="1" applyFont="1" applyFill="1" applyBorder="1" applyAlignment="1">
      <alignment horizontal="center" vertical="center"/>
    </xf>
    <xf numFmtId="168" fontId="46" fillId="17" borderId="23" xfId="1" applyNumberFormat="1" applyFont="1" applyFill="1" applyBorder="1" applyAlignment="1">
      <alignment horizontal="center" vertical="center"/>
    </xf>
    <xf numFmtId="168" fontId="46" fillId="17" borderId="24" xfId="1" applyNumberFormat="1" applyFont="1" applyFill="1" applyBorder="1" applyAlignment="1">
      <alignment horizontal="center" vertical="center"/>
    </xf>
    <xf numFmtId="168" fontId="179" fillId="11" borderId="23" xfId="1" applyNumberFormat="1" applyFont="1" applyFill="1" applyBorder="1" applyAlignment="1">
      <alignment horizontal="center" vertical="center"/>
    </xf>
    <xf numFmtId="168" fontId="179" fillId="11" borderId="24" xfId="1" applyNumberFormat="1" applyFont="1" applyFill="1" applyBorder="1" applyAlignment="1">
      <alignment horizontal="center" vertical="center"/>
    </xf>
    <xf numFmtId="168" fontId="46" fillId="28" borderId="23" xfId="1" applyNumberFormat="1" applyFont="1" applyFill="1" applyBorder="1" applyAlignment="1">
      <alignment horizontal="center" vertical="center"/>
    </xf>
    <xf numFmtId="168" fontId="46" fillId="28" borderId="24" xfId="1" applyNumberFormat="1" applyFont="1" applyFill="1" applyBorder="1" applyAlignment="1">
      <alignment horizontal="center" vertical="center"/>
    </xf>
    <xf numFmtId="0" fontId="154" fillId="6" borderId="20" xfId="0" applyFont="1" applyFill="1" applyBorder="1" applyAlignment="1">
      <alignment horizontal="center" vertical="center"/>
    </xf>
    <xf numFmtId="0" fontId="154" fillId="6" borderId="21" xfId="0" applyFont="1" applyFill="1" applyBorder="1" applyAlignment="1">
      <alignment horizontal="center" vertical="center"/>
    </xf>
    <xf numFmtId="0" fontId="53" fillId="0" borderId="1" xfId="10" applyNumberFormat="1" applyFont="1" applyBorder="1" applyAlignment="1">
      <alignment horizontal="center"/>
    </xf>
    <xf numFmtId="0" fontId="57" fillId="0" borderId="20" xfId="10" applyNumberFormat="1" applyFont="1" applyBorder="1" applyAlignment="1">
      <alignment horizontal="center"/>
    </xf>
    <xf numFmtId="0" fontId="57" fillId="0" borderId="2" xfId="10" applyNumberFormat="1" applyFont="1" applyBorder="1" applyAlignment="1">
      <alignment horizontal="center"/>
    </xf>
    <xf numFmtId="0" fontId="57" fillId="0" borderId="21" xfId="10" applyNumberFormat="1" applyFont="1" applyBorder="1" applyAlignment="1">
      <alignment horizontal="center"/>
    </xf>
    <xf numFmtId="193" fontId="88" fillId="0" borderId="65" xfId="0" applyNumberFormat="1" applyFont="1" applyBorder="1" applyAlignment="1">
      <alignment horizontal="left" vertical="center"/>
    </xf>
    <xf numFmtId="193" fontId="88" fillId="0" borderId="66" xfId="0" applyNumberFormat="1" applyFont="1" applyBorder="1" applyAlignment="1">
      <alignment horizontal="left" vertical="center"/>
    </xf>
    <xf numFmtId="193" fontId="88" fillId="0" borderId="62" xfId="0" applyNumberFormat="1" applyFont="1" applyBorder="1" applyAlignment="1">
      <alignment horizontal="left" vertical="center"/>
    </xf>
    <xf numFmtId="193" fontId="88" fillId="0" borderId="6" xfId="0" applyNumberFormat="1" applyFont="1" applyBorder="1" applyAlignment="1">
      <alignment horizontal="left" vertical="center"/>
    </xf>
    <xf numFmtId="193" fontId="88" fillId="0" borderId="52" xfId="0" applyNumberFormat="1" applyFont="1" applyBorder="1" applyAlignment="1">
      <alignment horizontal="left" vertical="center"/>
    </xf>
    <xf numFmtId="193" fontId="88" fillId="0" borderId="9" xfId="0" applyNumberFormat="1" applyFont="1" applyBorder="1" applyAlignment="1">
      <alignment horizontal="left" vertical="center"/>
    </xf>
  </cellXfs>
  <cellStyles count="17">
    <cellStyle name="40% - Accent3 2" xfId="14" xr:uid="{00000000-0005-0000-0000-000000000000}"/>
    <cellStyle name="Accent1" xfId="15" builtinId="29"/>
    <cellStyle name="Bad" xfId="16" builtinId="27"/>
    <cellStyle name="Comma" xfId="1" builtinId="3"/>
    <cellStyle name="Comma 2" xfId="10" xr:uid="{00000000-0005-0000-0000-000004000000}"/>
    <cellStyle name="Currency" xfId="2" builtinId="4"/>
    <cellStyle name="Currency 2" xfId="11" xr:uid="{00000000-0005-0000-0000-000006000000}"/>
    <cellStyle name="EHCOST" xfId="3" xr:uid="{00000000-0005-0000-0000-000007000000}"/>
    <cellStyle name="EH-Site" xfId="4" xr:uid="{00000000-0005-0000-0000-000008000000}"/>
    <cellStyle name="Euro" xfId="5" xr:uid="{00000000-0005-0000-0000-000009000000}"/>
    <cellStyle name="Good" xfId="8" builtinId="26"/>
    <cellStyle name="Good 2" xfId="13" xr:uid="{00000000-0005-0000-0000-00000B000000}"/>
    <cellStyle name="Normal" xfId="0" builtinId="0"/>
    <cellStyle name="Normal_$$Costing_Greece" xfId="6" xr:uid="{00000000-0005-0000-0000-00000D000000}"/>
    <cellStyle name="Normal_$$Costing_Greece 2" xfId="9" xr:uid="{00000000-0005-0000-0000-00000E000000}"/>
    <cellStyle name="Percent" xfId="7" builtinId="5"/>
    <cellStyle name="Percent 2" xfId="12" xr:uid="{00000000-0005-0000-0000-000010000000}"/>
  </cellStyles>
  <dxfs count="211"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rgb="FFCCFFCC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  <color rgb="FF008000"/>
      </font>
      <fill>
        <patternFill>
          <bgColor rgb="FF66FFCC"/>
        </patternFill>
      </fill>
    </dxf>
    <dxf>
      <font>
        <b/>
        <i val="0"/>
        <color rgb="FF0000FF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  <color rgb="FF008000"/>
      </font>
      <fill>
        <patternFill>
          <bgColor rgb="FF66FFCC"/>
        </patternFill>
      </fill>
    </dxf>
    <dxf>
      <font>
        <b/>
        <i val="0"/>
        <color rgb="FF0000FF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  <color rgb="FF008000"/>
      </font>
      <fill>
        <patternFill>
          <bgColor rgb="FF66FFCC"/>
        </patternFill>
      </fill>
    </dxf>
    <dxf>
      <font>
        <b/>
        <i val="0"/>
        <color rgb="FF0000FF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0000FF"/>
      <color rgb="FF008000"/>
      <color rgb="FF66FFCC"/>
      <color rgb="FFFFCCCC"/>
      <color rgb="FFFFE5E8"/>
      <color rgb="FFFFD5DA"/>
      <color rgb="FFFFC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41</xdr:row>
      <xdr:rowOff>76200</xdr:rowOff>
    </xdr:from>
    <xdr:to>
      <xdr:col>4</xdr:col>
      <xdr:colOff>21267</xdr:colOff>
      <xdr:row>43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3340" y="14468475"/>
          <a:ext cx="3130227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FF"/>
              </a:solidFill>
              <a:latin typeface="Bookman Old Style"/>
            </a:rPr>
            <a:t>-----------   F r e e   D a y  ----------</a:t>
          </a:r>
        </a:p>
      </xdr:txBody>
    </xdr:sp>
    <xdr:clientData/>
  </xdr:twoCellAnchor>
  <xdr:twoCellAnchor editAs="oneCell">
    <xdr:from>
      <xdr:col>3</xdr:col>
      <xdr:colOff>1695450</xdr:colOff>
      <xdr:row>6</xdr:row>
      <xdr:rowOff>76200</xdr:rowOff>
    </xdr:from>
    <xdr:to>
      <xdr:col>5</xdr:col>
      <xdr:colOff>20955</xdr:colOff>
      <xdr:row>6</xdr:row>
      <xdr:rowOff>514350</xdr:rowOff>
    </xdr:to>
    <xdr:pic>
      <xdr:nvPicPr>
        <xdr:cNvPr id="3" name="Picture 4" descr="MCj03109240000[1]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1485900"/>
          <a:ext cx="81153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560070</xdr:colOff>
      <xdr:row>6</xdr:row>
      <xdr:rowOff>535305</xdr:rowOff>
    </xdr:from>
    <xdr:ext cx="639086" cy="188065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542020" y="1945005"/>
          <a:ext cx="639086" cy="188065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prstDash val="sysDot"/>
          <a:miter lim="800000"/>
          <a:headEnd/>
          <a:tailEnd/>
        </a:ln>
      </xdr:spPr>
      <xdr:txBody>
        <a:bodyPr wrap="none" lIns="27432" tIns="27432" rIns="27432" bIns="27432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Indep. Day</a:t>
          </a:r>
        </a:p>
      </xdr:txBody>
    </xdr:sp>
    <xdr:clientData/>
  </xdr:oneCellAnchor>
  <xdr:twoCellAnchor editAs="oneCell">
    <xdr:from>
      <xdr:col>19</xdr:col>
      <xdr:colOff>0</xdr:colOff>
      <xdr:row>16</xdr:row>
      <xdr:rowOff>0</xdr:rowOff>
    </xdr:from>
    <xdr:to>
      <xdr:col>20</xdr:col>
      <xdr:colOff>183639</xdr:colOff>
      <xdr:row>16</xdr:row>
      <xdr:rowOff>400150</xdr:rowOff>
    </xdr:to>
    <xdr:pic>
      <xdr:nvPicPr>
        <xdr:cNvPr id="8" name="Picture 7" descr="C:\Users\Allon.GORDON\AppData\Local\Microsoft\Windows\Temporary Internet Files\Content.IE5\ALSD3UEX\MC900329238[1].wm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7981950"/>
          <a:ext cx="821814" cy="4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104776</xdr:colOff>
      <xdr:row>11</xdr:row>
      <xdr:rowOff>308551</xdr:rowOff>
    </xdr:from>
    <xdr:to>
      <xdr:col>19</xdr:col>
      <xdr:colOff>476251</xdr:colOff>
      <xdr:row>12</xdr:row>
      <xdr:rowOff>619125</xdr:rowOff>
    </xdr:to>
    <xdr:pic>
      <xdr:nvPicPr>
        <xdr:cNvPr id="9" name="Picture 8" descr="C:\Users\Allon.GORDON\AppData\Local\Microsoft\Windows\Temporary Internet Files\Content.IE5\1JR2S4K8\MC900297763[1].wm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6" y="5004376"/>
          <a:ext cx="1009650" cy="96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177841</xdr:colOff>
      <xdr:row>3</xdr:row>
      <xdr:rowOff>104775</xdr:rowOff>
    </xdr:from>
    <xdr:to>
      <xdr:col>14</xdr:col>
      <xdr:colOff>9524</xdr:colOff>
      <xdr:row>5</xdr:row>
      <xdr:rowOff>180975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7966" y="771525"/>
          <a:ext cx="469858" cy="466725"/>
        </a:xfrm>
        <a:prstGeom prst="rect">
          <a:avLst/>
        </a:prstGeom>
      </xdr:spPr>
    </xdr:pic>
    <xdr:clientData/>
  </xdr:twoCellAnchor>
  <xdr:oneCellAnchor>
    <xdr:from>
      <xdr:col>5</xdr:col>
      <xdr:colOff>950595</xdr:colOff>
      <xdr:row>6</xdr:row>
      <xdr:rowOff>287655</xdr:rowOff>
    </xdr:from>
    <xdr:ext cx="728597" cy="320729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684395" y="1697355"/>
          <a:ext cx="728597" cy="320729"/>
        </a:xfrm>
        <a:prstGeom prst="rect">
          <a:avLst/>
        </a:prstGeom>
        <a:solidFill>
          <a:schemeClr val="bg1"/>
        </a:solidFill>
        <a:ln w="12700">
          <a:solidFill>
            <a:srgbClr val="0000FF"/>
          </a:solidFill>
          <a:prstDash val="sysDot"/>
          <a:miter lim="800000"/>
          <a:headEnd/>
          <a:tailEnd/>
        </a:ln>
      </xdr:spPr>
      <xdr:txBody>
        <a:bodyPr wrap="none" lIns="27432" tIns="27432" rIns="27432" bIns="27432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FLT:</a:t>
          </a: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LHTBA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ETA- </a:t>
          </a: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15:15</a:t>
          </a:r>
        </a:p>
      </xdr:txBody>
    </xdr:sp>
    <xdr:clientData/>
  </xdr:oneCellAnchor>
  <xdr:oneCellAnchor>
    <xdr:from>
      <xdr:col>14</xdr:col>
      <xdr:colOff>390524</xdr:colOff>
      <xdr:row>8</xdr:row>
      <xdr:rowOff>561459</xdr:rowOff>
    </xdr:from>
    <xdr:ext cx="542925" cy="381515"/>
    <xdr:pic>
      <xdr:nvPicPr>
        <xdr:cNvPr id="22" name="Picture 11" descr="MCj02288390000[1]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70000" contrast="-7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4" y="3285609"/>
          <a:ext cx="542925" cy="38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104776</xdr:colOff>
      <xdr:row>18</xdr:row>
      <xdr:rowOff>308551</xdr:rowOff>
    </xdr:from>
    <xdr:ext cx="1009650" cy="967799"/>
    <xdr:pic>
      <xdr:nvPicPr>
        <xdr:cNvPr id="20" name="Picture 19" descr="C:\Users\Allon.GORDON\AppData\Local\Microsoft\Windows\Temporary Internet Files\Content.IE5\1JR2S4K8\MC900297763[1].wm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6" y="5004376"/>
          <a:ext cx="1009650" cy="96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15</xdr:col>
      <xdr:colOff>0</xdr:colOff>
      <xdr:row>18</xdr:row>
      <xdr:rowOff>28576</xdr:rowOff>
    </xdr:from>
    <xdr:to>
      <xdr:col>16</xdr:col>
      <xdr:colOff>9526</xdr:colOff>
      <xdr:row>19</xdr:row>
      <xdr:rowOff>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9896475" y="9324976"/>
          <a:ext cx="647701" cy="628649"/>
          <a:chOff x="8810625" y="4591049"/>
          <a:chExt cx="628650" cy="628650"/>
        </a:xfrm>
      </xdr:grpSpPr>
      <xdr:pic>
        <xdr:nvPicPr>
          <xdr:cNvPr id="23" name="Picture 22" descr="C:\Users\Allon.GORDON\AppData\Local\Microsoft\Windows\Temporary Internet Files\Content.IE5\IXOHESBD\MC900432589[1].png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0625" y="4591049"/>
            <a:ext cx="628650" cy="628650"/>
          </a:xfrm>
          <a:prstGeom prst="rect">
            <a:avLst/>
          </a:prstGeom>
          <a:noFill/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8925222" y="4772025"/>
            <a:ext cx="409575" cy="2381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 b="1">
                <a:latin typeface="Tahoma" pitchFamily="34" charset="0"/>
                <a:ea typeface="Tahoma" pitchFamily="34" charset="0"/>
                <a:cs typeface="Tahoma" pitchFamily="34" charset="0"/>
              </a:rPr>
              <a:t>DS</a:t>
            </a:r>
            <a:endParaRPr lang="en-US" sz="1100" b="1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  <xdr:oneCellAnchor>
    <xdr:from>
      <xdr:col>17</xdr:col>
      <xdr:colOff>356235</xdr:colOff>
      <xdr:row>15</xdr:row>
      <xdr:rowOff>80010</xdr:rowOff>
    </xdr:from>
    <xdr:ext cx="684033" cy="320729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1529060" y="7404735"/>
          <a:ext cx="684033" cy="320729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prstDash val="sysDot"/>
          <a:miter lim="800000"/>
          <a:headEnd/>
          <a:tailEnd/>
        </a:ln>
      </xdr:spPr>
      <xdr:txBody>
        <a:bodyPr wrap="none" lIns="27432" tIns="27432" rIns="27432" bIns="27432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FLT:</a:t>
          </a: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XXxxx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ETD- ??:??</a:t>
          </a:r>
        </a:p>
      </xdr:txBody>
    </xdr:sp>
    <xdr:clientData/>
  </xdr:oneCellAnchor>
  <xdr:oneCellAnchor>
    <xdr:from>
      <xdr:col>16</xdr:col>
      <xdr:colOff>276225</xdr:colOff>
      <xdr:row>15</xdr:row>
      <xdr:rowOff>47625</xdr:rowOff>
    </xdr:from>
    <xdr:ext cx="628650" cy="390525"/>
    <xdr:pic>
      <xdr:nvPicPr>
        <xdr:cNvPr id="27" name="Picture 14" descr="C:\Users\allon\AppData\Local\Microsoft\Windows\Temporary Internet Files\Content.IE5\51GJJGQI\MC900006270[1].wm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7372350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70485</xdr:colOff>
      <xdr:row>18</xdr:row>
      <xdr:rowOff>299085</xdr:rowOff>
    </xdr:from>
    <xdr:ext cx="683905" cy="320729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E7A108D7-BE2D-45FF-B730-ACD58EE634D8}"/>
            </a:ext>
          </a:extLst>
        </xdr:cNvPr>
        <xdr:cNvSpPr txBox="1">
          <a:spLocks noChangeArrowheads="1"/>
        </xdr:cNvSpPr>
      </xdr:nvSpPr>
      <xdr:spPr bwMode="auto">
        <a:xfrm>
          <a:off x="1318260" y="8938260"/>
          <a:ext cx="683905" cy="320729"/>
        </a:xfrm>
        <a:prstGeom prst="rect">
          <a:avLst/>
        </a:prstGeom>
        <a:solidFill>
          <a:srgbClr val="FFFFFF"/>
        </a:solidFill>
        <a:ln w="19050">
          <a:solidFill>
            <a:srgbClr val="0000FF"/>
          </a:solidFill>
          <a:prstDash val="sysDot"/>
          <a:miter lim="800000"/>
          <a:headEnd/>
          <a:tailEnd/>
        </a:ln>
      </xdr:spPr>
      <xdr:txBody>
        <a:bodyPr wrap="none" lIns="27432" tIns="27432" rIns="27432" bIns="27432" anchor="t" upright="1">
          <a:spAutoFit/>
        </a:bodyPr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FLT:</a:t>
          </a:r>
          <a:r>
            <a:rPr lang="en-US" sz="900" b="1" i="0" u="none" strike="noStrike" baseline="0">
              <a:solidFill>
                <a:srgbClr val="0000FF"/>
              </a:solidFill>
              <a:latin typeface="Arial"/>
              <a:cs typeface="Arial"/>
            </a:rPr>
            <a:t> LHxxx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ETD- 07:00</a:t>
          </a:r>
        </a:p>
      </xdr:txBody>
    </xdr:sp>
    <xdr:clientData/>
  </xdr:oneCellAnchor>
  <xdr:oneCellAnchor>
    <xdr:from>
      <xdr:col>3</xdr:col>
      <xdr:colOff>838200</xdr:colOff>
      <xdr:row>18</xdr:row>
      <xdr:rowOff>247650</xdr:rowOff>
    </xdr:from>
    <xdr:ext cx="628650" cy="390525"/>
    <xdr:pic>
      <xdr:nvPicPr>
        <xdr:cNvPr id="33" name="Picture 14" descr="C:\Users\allon\AppData\Local\Microsoft\Windows\Temporary Internet Files\Content.IE5\51GJJGQI\MC900006270[1].wmf">
          <a:extLst>
            <a:ext uri="{FF2B5EF4-FFF2-40B4-BE49-F238E27FC236}">
              <a16:creationId xmlns:a16="http://schemas.microsoft.com/office/drawing/2014/main" id="{9FFAF59E-E9F1-4F79-A107-551CF0AED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88868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1895475</xdr:colOff>
      <xdr:row>16</xdr:row>
      <xdr:rowOff>85726</xdr:rowOff>
    </xdr:from>
    <xdr:to>
      <xdr:col>5</xdr:col>
      <xdr:colOff>57151</xdr:colOff>
      <xdr:row>17</xdr:row>
      <xdr:rowOff>19051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4C9ACCE1-A84A-4B9A-AE3F-2884A3CAF4F4}"/>
            </a:ext>
          </a:extLst>
        </xdr:cNvPr>
        <xdr:cNvGrpSpPr/>
      </xdr:nvGrpSpPr>
      <xdr:grpSpPr>
        <a:xfrm>
          <a:off x="3143250" y="8067676"/>
          <a:ext cx="647701" cy="590550"/>
          <a:chOff x="8810625" y="4591049"/>
          <a:chExt cx="628650" cy="628650"/>
        </a:xfrm>
      </xdr:grpSpPr>
      <xdr:pic>
        <xdr:nvPicPr>
          <xdr:cNvPr id="38" name="Picture 37" descr="C:\Users\Allon.GORDON\AppData\Local\Microsoft\Windows\Temporary Internet Files\Content.IE5\IXOHESBD\MC900432589[1].png">
            <a:extLst>
              <a:ext uri="{FF2B5EF4-FFF2-40B4-BE49-F238E27FC236}">
                <a16:creationId xmlns:a16="http://schemas.microsoft.com/office/drawing/2014/main" id="{E8B2D38A-3C48-422A-9EA8-1BAA90D439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10625" y="4591049"/>
            <a:ext cx="628650" cy="628650"/>
          </a:xfrm>
          <a:prstGeom prst="rect">
            <a:avLst/>
          </a:prstGeom>
          <a:noFill/>
        </xdr:spPr>
      </xdr:pic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FCE54DC1-B37B-425E-B0FD-BCA67A8189D8}"/>
              </a:ext>
            </a:extLst>
          </xdr:cNvPr>
          <xdr:cNvSpPr txBox="1"/>
        </xdr:nvSpPr>
        <xdr:spPr>
          <a:xfrm>
            <a:off x="8925222" y="4772025"/>
            <a:ext cx="409575" cy="2381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 b="1">
                <a:latin typeface="Tahoma" pitchFamily="34" charset="0"/>
                <a:ea typeface="Tahoma" pitchFamily="34" charset="0"/>
                <a:cs typeface="Tahoma" pitchFamily="34" charset="0"/>
              </a:rPr>
              <a:t>DS</a:t>
            </a:r>
            <a:endParaRPr lang="en-US" sz="1100" b="1">
              <a:latin typeface="Tahoma" pitchFamily="34" charset="0"/>
              <a:ea typeface="Tahoma" pitchFamily="34" charset="0"/>
              <a:cs typeface="Tahoma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B23F-E2D4-4859-A142-8A0E2E5C5D76}">
  <sheetPr>
    <tabColor rgb="FF0000FF"/>
  </sheetPr>
  <dimension ref="A1:AR160"/>
  <sheetViews>
    <sheetView showGridLines="0" tabSelected="1" workbookViewId="0">
      <selection activeCell="F3" sqref="F3"/>
    </sheetView>
  </sheetViews>
  <sheetFormatPr defaultColWidth="7.28515625" defaultRowHeight="13.5"/>
  <cols>
    <col min="1" max="1" width="21.42578125" style="1" customWidth="1"/>
    <col min="2" max="2" width="13.7109375" style="1" bestFit="1" customWidth="1"/>
    <col min="3" max="3" width="7.7109375" style="1" customWidth="1"/>
    <col min="4" max="4" width="8.7109375" style="1" customWidth="1"/>
    <col min="5" max="5" width="9.140625" style="1" customWidth="1"/>
    <col min="6" max="7" width="7.7109375" style="1" customWidth="1"/>
    <col min="8" max="8" width="8.28515625" style="1" customWidth="1"/>
    <col min="9" max="10" width="7.7109375" style="1" customWidth="1"/>
    <col min="11" max="11" width="8.5703125" style="1" customWidth="1"/>
    <col min="12" max="12" width="8" style="1" customWidth="1"/>
    <col min="13" max="18" width="7.7109375" style="1" customWidth="1"/>
    <col min="19" max="19" width="7.28515625" style="1"/>
    <col min="20" max="20" width="8.42578125" style="1" customWidth="1"/>
    <col min="21" max="21" width="8.28515625" style="1" bestFit="1" customWidth="1"/>
    <col min="22" max="22" width="8.5703125" style="1" bestFit="1" customWidth="1"/>
    <col min="23" max="23" width="7.85546875" style="1" bestFit="1" customWidth="1"/>
    <col min="24" max="24" width="10.85546875" style="1" customWidth="1"/>
    <col min="25" max="25" width="7.28515625" style="1"/>
    <col min="26" max="26" width="8.140625" style="1" bestFit="1" customWidth="1"/>
    <col min="27" max="16384" width="7.28515625" style="1"/>
  </cols>
  <sheetData>
    <row r="1" spans="1:44" ht="20.25" customHeight="1">
      <c r="A1" s="479" t="s">
        <v>358</v>
      </c>
      <c r="G1" s="174"/>
      <c r="J1" s="733" t="s">
        <v>221</v>
      </c>
      <c r="K1" s="733"/>
      <c r="L1" s="733"/>
      <c r="N1" s="583" t="s">
        <v>335</v>
      </c>
      <c r="P1" s="109">
        <v>0.17</v>
      </c>
      <c r="X1" s="2">
        <v>3.45</v>
      </c>
      <c r="Y1" s="108">
        <v>3.65</v>
      </c>
    </row>
    <row r="2" spans="1:44" ht="11.25" customHeight="1">
      <c r="B2" s="3"/>
      <c r="C2" s="3"/>
      <c r="H2" s="727"/>
      <c r="I2" s="727"/>
      <c r="J2" s="734">
        <v>43099</v>
      </c>
      <c r="K2" s="734"/>
      <c r="L2" s="734"/>
      <c r="N2" s="110" t="s">
        <v>51</v>
      </c>
      <c r="P2" s="110" t="s">
        <v>22</v>
      </c>
      <c r="X2" s="110" t="s">
        <v>50</v>
      </c>
      <c r="Y2" s="110" t="s">
        <v>49</v>
      </c>
    </row>
    <row r="3" spans="1:44" ht="11.25" customHeight="1">
      <c r="A3" s="166"/>
      <c r="B3" s="4"/>
      <c r="C3" s="4"/>
      <c r="D3" s="5"/>
      <c r="E3" s="6"/>
      <c r="F3" s="328">
        <v>43962</v>
      </c>
      <c r="G3" s="4"/>
      <c r="H3" s="728"/>
      <c r="I3" s="728"/>
      <c r="J3" s="735"/>
      <c r="K3" s="735"/>
      <c r="L3" s="735"/>
      <c r="N3" s="110"/>
      <c r="O3" s="110"/>
      <c r="P3" s="110"/>
      <c r="Q3" s="110"/>
    </row>
    <row r="4" spans="1:44" s="9" customFormat="1" ht="15">
      <c r="A4" s="115" t="s">
        <v>339</v>
      </c>
      <c r="B4" s="638" t="s">
        <v>0</v>
      </c>
      <c r="C4" s="639" t="s">
        <v>1</v>
      </c>
      <c r="D4" s="640" t="s">
        <v>2</v>
      </c>
      <c r="E4" s="640" t="s">
        <v>69</v>
      </c>
      <c r="F4" s="641" t="s">
        <v>66</v>
      </c>
      <c r="G4" s="644">
        <f>F5</f>
        <v>43963</v>
      </c>
      <c r="H4" s="641" t="s">
        <v>67</v>
      </c>
      <c r="I4" s="644">
        <f>H5</f>
        <v>43964</v>
      </c>
      <c r="J4" s="736" t="s">
        <v>325</v>
      </c>
      <c r="K4" s="737"/>
      <c r="L4" s="8"/>
      <c r="M4" s="175" t="s">
        <v>71</v>
      </c>
      <c r="N4" s="176" t="s">
        <v>72</v>
      </c>
      <c r="O4" s="8"/>
      <c r="P4" s="8"/>
      <c r="Q4" s="8"/>
      <c r="R4" s="8"/>
      <c r="W4" s="427" t="s">
        <v>192</v>
      </c>
      <c r="X4" s="428" t="s">
        <v>64</v>
      </c>
      <c r="Y4" s="399">
        <v>110</v>
      </c>
      <c r="Z4" s="430">
        <f>ROUNDUP(Y4/$X$1,0)+10</f>
        <v>42</v>
      </c>
      <c r="AJ4" s="9" t="s">
        <v>69</v>
      </c>
    </row>
    <row r="5" spans="1:44" ht="13.5" customHeight="1">
      <c r="A5" s="177" t="s">
        <v>368</v>
      </c>
      <c r="B5" s="178">
        <v>1</v>
      </c>
      <c r="C5" s="645">
        <v>90</v>
      </c>
      <c r="D5" s="180">
        <f t="shared" ref="D5:D9" si="0">B5*C5</f>
        <v>90</v>
      </c>
      <c r="E5" s="602" t="s">
        <v>73</v>
      </c>
      <c r="F5" s="328">
        <f>F3+1</f>
        <v>43963</v>
      </c>
      <c r="G5" s="329">
        <f t="shared" ref="G5" si="1">F5</f>
        <v>43963</v>
      </c>
      <c r="H5" s="328">
        <f>F5+B5</f>
        <v>43964</v>
      </c>
      <c r="I5" s="330">
        <f t="shared" ref="I5" si="2">H5</f>
        <v>43964</v>
      </c>
      <c r="J5" s="659"/>
      <c r="K5" s="647"/>
      <c r="L5" s="17"/>
      <c r="M5" s="645">
        <v>80</v>
      </c>
      <c r="N5" s="181">
        <f>B5*M5</f>
        <v>80</v>
      </c>
      <c r="O5" s="17"/>
      <c r="P5" s="17"/>
      <c r="Q5" s="17"/>
      <c r="R5" s="17"/>
      <c r="S5" s="114" t="e">
        <f>(C5-O5)/O5</f>
        <v>#DIV/0!</v>
      </c>
      <c r="T5" s="114" t="e">
        <f>(G5-P5)/P5</f>
        <v>#DIV/0!</v>
      </c>
      <c r="X5" s="429" t="s">
        <v>65</v>
      </c>
      <c r="Y5" s="400">
        <v>180</v>
      </c>
      <c r="Z5" s="431">
        <f>ROUNDUP(Y5/$X$1,0)+10</f>
        <v>63</v>
      </c>
      <c r="AA5" s="128"/>
      <c r="AJ5" s="642" t="s">
        <v>315</v>
      </c>
    </row>
    <row r="6" spans="1:44" ht="13.5" customHeight="1">
      <c r="A6" s="177" t="s">
        <v>369</v>
      </c>
      <c r="B6" s="178">
        <v>2</v>
      </c>
      <c r="C6" s="645">
        <v>90</v>
      </c>
      <c r="D6" s="180">
        <f>B6*C6</f>
        <v>180</v>
      </c>
      <c r="E6" s="602" t="s">
        <v>73</v>
      </c>
      <c r="F6" s="328">
        <f>H5</f>
        <v>43964</v>
      </c>
      <c r="G6" s="329">
        <f>F6</f>
        <v>43964</v>
      </c>
      <c r="H6" s="328">
        <f>F6+B6</f>
        <v>43966</v>
      </c>
      <c r="I6" s="330">
        <f>H6</f>
        <v>43966</v>
      </c>
      <c r="J6" s="660"/>
      <c r="K6" s="648"/>
      <c r="L6" s="17"/>
      <c r="M6" s="645">
        <v>75</v>
      </c>
      <c r="N6" s="181">
        <f>B6*M6</f>
        <v>150</v>
      </c>
      <c r="O6" s="17"/>
      <c r="P6" s="17"/>
      <c r="Q6" s="17"/>
      <c r="R6" s="17"/>
      <c r="S6" s="114" t="e">
        <f>(C6-O6)/O6</f>
        <v>#DIV/0!</v>
      </c>
      <c r="T6" s="114" t="e">
        <f>(G6-P6)/P6</f>
        <v>#DIV/0!</v>
      </c>
      <c r="X6" s="604" t="s">
        <v>287</v>
      </c>
      <c r="AA6" s="128"/>
      <c r="AJ6" s="603" t="s">
        <v>285</v>
      </c>
    </row>
    <row r="7" spans="1:44" ht="13.5" customHeight="1">
      <c r="A7" s="177" t="s">
        <v>372</v>
      </c>
      <c r="B7" s="178">
        <v>4</v>
      </c>
      <c r="C7" s="645">
        <v>110</v>
      </c>
      <c r="D7" s="180">
        <f>B7*C7</f>
        <v>440</v>
      </c>
      <c r="E7" s="602" t="s">
        <v>73</v>
      </c>
      <c r="F7" s="328">
        <f>H6</f>
        <v>43966</v>
      </c>
      <c r="G7" s="329">
        <f>F7</f>
        <v>43966</v>
      </c>
      <c r="H7" s="328">
        <f>F7+B7</f>
        <v>43970</v>
      </c>
      <c r="I7" s="330">
        <f>H7</f>
        <v>43970</v>
      </c>
      <c r="J7" s="660"/>
      <c r="K7" s="648"/>
      <c r="L7" s="17"/>
      <c r="M7" s="645">
        <v>100</v>
      </c>
      <c r="N7" s="181">
        <f>B7*M7</f>
        <v>400</v>
      </c>
      <c r="O7" s="17"/>
      <c r="P7" s="17"/>
      <c r="Q7" s="17"/>
      <c r="R7" s="17"/>
      <c r="S7" s="114"/>
      <c r="T7" s="114"/>
      <c r="X7" s="426"/>
      <c r="AA7" s="128"/>
      <c r="AJ7" s="602" t="s">
        <v>73</v>
      </c>
    </row>
    <row r="8" spans="1:44" ht="13.5" customHeight="1">
      <c r="A8" s="177"/>
      <c r="B8" s="178"/>
      <c r="C8" s="179"/>
      <c r="D8" s="180"/>
      <c r="E8" s="602" t="s">
        <v>317</v>
      </c>
      <c r="F8" s="328"/>
      <c r="G8" s="329"/>
      <c r="H8" s="328"/>
      <c r="I8" s="330"/>
      <c r="J8" s="660"/>
      <c r="K8" s="648"/>
      <c r="L8" s="17"/>
      <c r="M8" s="645"/>
      <c r="N8" s="181">
        <f>B8*M8</f>
        <v>0</v>
      </c>
      <c r="O8" s="17"/>
      <c r="P8" s="17"/>
      <c r="Q8" s="17"/>
      <c r="R8" s="17"/>
      <c r="S8" s="114"/>
      <c r="T8" s="738" t="s">
        <v>318</v>
      </c>
      <c r="U8" s="738"/>
      <c r="X8" s="426"/>
      <c r="AA8" s="128"/>
      <c r="AJ8" s="643" t="s">
        <v>316</v>
      </c>
    </row>
    <row r="9" spans="1:44" ht="13.5" customHeight="1">
      <c r="A9" s="177"/>
      <c r="B9" s="178"/>
      <c r="C9" s="179"/>
      <c r="D9" s="180">
        <f t="shared" si="0"/>
        <v>0</v>
      </c>
      <c r="E9" s="602"/>
      <c r="F9" s="328"/>
      <c r="G9" s="329"/>
      <c r="H9" s="328"/>
      <c r="I9" s="330"/>
      <c r="J9" s="660"/>
      <c r="K9" s="648"/>
      <c r="L9" s="17"/>
      <c r="M9" s="179"/>
      <c r="N9" s="181">
        <f>B9*M9</f>
        <v>0</v>
      </c>
      <c r="O9" s="17"/>
      <c r="P9" s="17"/>
      <c r="Q9" s="17"/>
      <c r="R9" s="17"/>
      <c r="S9" s="114"/>
      <c r="T9" s="645">
        <v>123</v>
      </c>
      <c r="U9" s="168" t="s">
        <v>321</v>
      </c>
      <c r="W9" s="427" t="s">
        <v>203</v>
      </c>
      <c r="X9" s="136" t="s">
        <v>62</v>
      </c>
      <c r="Y9" s="135" t="s">
        <v>61</v>
      </c>
      <c r="Z9" s="134" t="s">
        <v>60</v>
      </c>
      <c r="AA9" s="128" t="s">
        <v>22</v>
      </c>
      <c r="AB9" s="432" t="s">
        <v>206</v>
      </c>
      <c r="AC9" s="432" t="s">
        <v>187</v>
      </c>
      <c r="AD9" s="433" t="s">
        <v>188</v>
      </c>
      <c r="AE9" s="433" t="s">
        <v>189</v>
      </c>
      <c r="AF9" s="433" t="s">
        <v>190</v>
      </c>
      <c r="AG9" s="434" t="s">
        <v>191</v>
      </c>
      <c r="AJ9" s="642" t="s">
        <v>317</v>
      </c>
    </row>
    <row r="10" spans="1:44" ht="13.5" customHeight="1">
      <c r="A10" s="182" t="s">
        <v>74</v>
      </c>
      <c r="B10" s="183">
        <f>SUM(B5:B9)</f>
        <v>7</v>
      </c>
      <c r="C10" s="184"/>
      <c r="D10" s="185"/>
      <c r="E10" s="20"/>
      <c r="F10" s="22"/>
      <c r="G10" s="19"/>
      <c r="H10" s="17"/>
      <c r="I10" s="17"/>
      <c r="J10" s="17"/>
      <c r="K10" s="17"/>
      <c r="L10" s="17"/>
      <c r="M10" s="186" t="s">
        <v>75</v>
      </c>
      <c r="N10" s="187">
        <f>SUM(N5:N9)</f>
        <v>630</v>
      </c>
      <c r="O10" s="17"/>
      <c r="P10" s="17"/>
      <c r="Q10" s="17"/>
      <c r="R10" s="17"/>
      <c r="S10" s="114"/>
      <c r="T10" s="645">
        <v>123</v>
      </c>
      <c r="U10" s="168" t="s">
        <v>319</v>
      </c>
      <c r="X10" s="133" t="s">
        <v>59</v>
      </c>
      <c r="Y10" s="132">
        <v>21</v>
      </c>
      <c r="Z10" s="131">
        <f>ROUNDUP(Y10+AA10,0)</f>
        <v>25</v>
      </c>
      <c r="AA10" s="128">
        <f>Y10*$P$1</f>
        <v>3.5700000000000003</v>
      </c>
      <c r="AB10" s="435" t="s">
        <v>207</v>
      </c>
      <c r="AC10" s="435">
        <v>25</v>
      </c>
      <c r="AD10" s="436">
        <v>32</v>
      </c>
      <c r="AE10" s="436">
        <v>38</v>
      </c>
      <c r="AF10" s="436">
        <v>56</v>
      </c>
      <c r="AG10" s="437">
        <v>69</v>
      </c>
      <c r="AR10" s="602"/>
    </row>
    <row r="11" spans="1:44" ht="13.5" customHeight="1">
      <c r="A11" s="23" t="s">
        <v>3</v>
      </c>
      <c r="B11" s="24">
        <v>3</v>
      </c>
      <c r="C11" s="25">
        <v>4</v>
      </c>
      <c r="D11" s="188">
        <f>B11*C11</f>
        <v>12</v>
      </c>
      <c r="E11" s="20"/>
      <c r="F11" s="21"/>
      <c r="G11" s="22"/>
      <c r="H11" s="19"/>
      <c r="I11" s="17"/>
      <c r="J11" s="17"/>
      <c r="K11" s="17"/>
      <c r="L11" s="189" t="s">
        <v>76</v>
      </c>
      <c r="M11" s="190">
        <f>N11/N10</f>
        <v>1.5873015873015872E-2</v>
      </c>
      <c r="N11" s="191">
        <v>10</v>
      </c>
      <c r="O11" s="17"/>
      <c r="P11" s="17"/>
      <c r="Q11" s="17"/>
      <c r="R11" s="17"/>
      <c r="S11" s="114"/>
      <c r="T11" s="645">
        <v>123</v>
      </c>
      <c r="U11" s="168" t="s">
        <v>320</v>
      </c>
      <c r="X11" s="133" t="s">
        <v>120</v>
      </c>
      <c r="Y11" s="132">
        <v>27</v>
      </c>
      <c r="Z11" s="131">
        <f t="shared" ref="Z11:Z15" si="3">ROUNDUP(Y11+AA11,0)</f>
        <v>32</v>
      </c>
      <c r="AA11" s="128">
        <f t="shared" ref="AA11:AA15" si="4">Y11*$P$1</f>
        <v>4.5900000000000007</v>
      </c>
      <c r="AB11" s="435" t="s">
        <v>208</v>
      </c>
      <c r="AC11" s="435">
        <v>44</v>
      </c>
      <c r="AD11" s="436">
        <v>44</v>
      </c>
      <c r="AE11" s="436">
        <v>44</v>
      </c>
      <c r="AF11" s="436">
        <v>65</v>
      </c>
      <c r="AG11" s="437">
        <v>82</v>
      </c>
    </row>
    <row r="12" spans="1:44" ht="13.5" customHeight="1">
      <c r="A12" s="182" t="s">
        <v>77</v>
      </c>
      <c r="B12" s="26"/>
      <c r="C12" s="192"/>
      <c r="D12" s="193">
        <f>SUM(D5:D11)</f>
        <v>722</v>
      </c>
      <c r="E12" s="194">
        <f>SUM(E5:E11)</f>
        <v>0</v>
      </c>
      <c r="F12" s="195"/>
      <c r="G12" s="22"/>
      <c r="H12" s="19"/>
      <c r="I12" s="17"/>
      <c r="J12" s="17"/>
      <c r="K12" s="17"/>
      <c r="L12" s="196">
        <f>N12/B10</f>
        <v>91.428571428571431</v>
      </c>
      <c r="M12" s="661" t="s">
        <v>78</v>
      </c>
      <c r="N12" s="197">
        <f>SUM(N10:N11)</f>
        <v>640</v>
      </c>
      <c r="O12" s="17"/>
      <c r="P12" s="17"/>
      <c r="Q12" s="17"/>
      <c r="R12" s="17"/>
      <c r="T12" s="645">
        <v>123</v>
      </c>
      <c r="U12" s="168" t="s">
        <v>322</v>
      </c>
      <c r="X12" s="133" t="s">
        <v>121</v>
      </c>
      <c r="Y12" s="132">
        <v>32</v>
      </c>
      <c r="Z12" s="131">
        <f t="shared" si="3"/>
        <v>38</v>
      </c>
      <c r="AA12" s="128">
        <f t="shared" si="4"/>
        <v>5.44</v>
      </c>
      <c r="AB12" s="438" t="s">
        <v>209</v>
      </c>
      <c r="AC12" s="438">
        <f>SUM(AC10:AC11)</f>
        <v>69</v>
      </c>
      <c r="AD12" s="439">
        <f t="shared" ref="AD12:AG12" si="5">SUM(AD10:AD11)</f>
        <v>76</v>
      </c>
      <c r="AE12" s="439">
        <f t="shared" si="5"/>
        <v>82</v>
      </c>
      <c r="AF12" s="439">
        <f t="shared" si="5"/>
        <v>121</v>
      </c>
      <c r="AG12" s="440">
        <f t="shared" si="5"/>
        <v>151</v>
      </c>
    </row>
    <row r="13" spans="1:44" ht="13.5" customHeight="1">
      <c r="A13" s="23" t="s">
        <v>79</v>
      </c>
      <c r="B13" s="198"/>
      <c r="C13" s="199"/>
      <c r="D13" s="119">
        <f>B13*C13</f>
        <v>0</v>
      </c>
      <c r="E13" s="200"/>
      <c r="F13" s="201" t="s">
        <v>80</v>
      </c>
      <c r="G13" s="201"/>
      <c r="H13" s="19"/>
      <c r="I13" s="17"/>
      <c r="J13" s="17"/>
      <c r="K13" s="17"/>
      <c r="L13" s="17"/>
      <c r="M13" s="13"/>
      <c r="N13" s="17"/>
      <c r="O13" s="17"/>
      <c r="P13" s="17"/>
      <c r="Q13" s="17"/>
      <c r="R13" s="17"/>
      <c r="T13" s="14"/>
      <c r="X13" s="133" t="s">
        <v>58</v>
      </c>
      <c r="Y13" s="132">
        <v>47</v>
      </c>
      <c r="Z13" s="131">
        <f t="shared" si="3"/>
        <v>55</v>
      </c>
      <c r="AA13" s="128">
        <f t="shared" si="4"/>
        <v>7.99</v>
      </c>
    </row>
    <row r="14" spans="1:44" ht="14.25" thickBot="1">
      <c r="A14" s="202" t="s">
        <v>81</v>
      </c>
      <c r="B14" s="198"/>
      <c r="C14" s="199"/>
      <c r="D14" s="203">
        <f>B14*C14</f>
        <v>0</v>
      </c>
      <c r="E14" s="200"/>
      <c r="F14" s="204" t="s">
        <v>82</v>
      </c>
      <c r="G14" s="204"/>
      <c r="H14" s="19"/>
      <c r="I14" s="15"/>
      <c r="J14" s="17"/>
      <c r="K14" s="17"/>
      <c r="L14" s="17"/>
      <c r="M14" s="13"/>
      <c r="N14" s="17"/>
      <c r="O14" s="17"/>
      <c r="P14" s="17"/>
      <c r="Q14" s="17"/>
      <c r="R14" s="17"/>
      <c r="S14" s="114"/>
      <c r="T14" s="114"/>
      <c r="X14" s="133" t="s">
        <v>186</v>
      </c>
      <c r="Y14" s="132">
        <v>58</v>
      </c>
      <c r="Z14" s="131">
        <f t="shared" si="3"/>
        <v>68</v>
      </c>
      <c r="AA14" s="128">
        <f t="shared" si="4"/>
        <v>9.8600000000000012</v>
      </c>
    </row>
    <row r="15" spans="1:44" ht="14.25" thickBot="1">
      <c r="A15" s="27" t="s">
        <v>4</v>
      </c>
      <c r="B15" s="28"/>
      <c r="C15" s="205"/>
      <c r="D15" s="206">
        <f>SUM(D12:D14)</f>
        <v>722</v>
      </c>
      <c r="E15" s="206">
        <f>SUM(E12:E14)</f>
        <v>0</v>
      </c>
      <c r="F15" s="29"/>
      <c r="G15" s="22"/>
      <c r="H15" s="19"/>
      <c r="I15" s="15"/>
      <c r="J15" s="15"/>
      <c r="K15" s="15"/>
      <c r="L15" s="15"/>
      <c r="M15" s="13"/>
      <c r="N15" s="17"/>
      <c r="O15" s="17"/>
      <c r="P15" s="17"/>
      <c r="Q15" s="17"/>
      <c r="R15" s="17"/>
      <c r="T15" s="14"/>
      <c r="X15" s="165" t="s">
        <v>57</v>
      </c>
      <c r="Y15" s="130">
        <v>58</v>
      </c>
      <c r="Z15" s="129">
        <f t="shared" si="3"/>
        <v>68</v>
      </c>
      <c r="AA15" s="128">
        <f t="shared" si="4"/>
        <v>9.8600000000000012</v>
      </c>
    </row>
    <row r="16" spans="1:44" ht="6" customHeight="1" thickBot="1">
      <c r="A16" s="41"/>
      <c r="B16" s="42"/>
      <c r="C16" s="43"/>
      <c r="D16" s="44"/>
      <c r="E16" s="45"/>
      <c r="F16" s="46"/>
      <c r="G16" s="47"/>
      <c r="H16" s="48"/>
      <c r="I16" s="49"/>
      <c r="J16" s="207"/>
      <c r="K16" s="207"/>
      <c r="L16" s="49"/>
      <c r="M16" s="207"/>
      <c r="N16" s="207"/>
      <c r="O16" s="49"/>
      <c r="P16" s="49"/>
      <c r="Q16" s="49"/>
      <c r="R16" s="17"/>
      <c r="T16" s="14"/>
    </row>
    <row r="17" spans="1:29" ht="6" customHeight="1" thickTop="1" thickBot="1">
      <c r="A17" s="50"/>
      <c r="B17" s="10"/>
      <c r="C17" s="51"/>
      <c r="D17" s="52"/>
      <c r="E17" s="52"/>
      <c r="F17" s="21"/>
      <c r="G17" s="53"/>
      <c r="H17" s="208"/>
      <c r="I17" s="209"/>
      <c r="J17" s="210"/>
      <c r="K17" s="17"/>
      <c r="L17" s="209"/>
      <c r="M17" s="210"/>
      <c r="N17" s="17"/>
      <c r="O17" s="209"/>
      <c r="P17" s="209"/>
      <c r="Q17" s="209"/>
      <c r="R17" s="17"/>
      <c r="T17" s="14"/>
    </row>
    <row r="18" spans="1:29" ht="13.5" customHeight="1" thickBot="1">
      <c r="A18" s="32" t="s">
        <v>5</v>
      </c>
      <c r="B18" s="451" t="s">
        <v>216</v>
      </c>
      <c r="C18" s="25"/>
      <c r="D18" s="739" t="s">
        <v>6</v>
      </c>
      <c r="E18" s="740"/>
      <c r="F18" s="33"/>
      <c r="G18" s="741" t="s">
        <v>56</v>
      </c>
      <c r="H18" s="742"/>
      <c r="I18" s="34"/>
      <c r="J18" s="743" t="s">
        <v>7</v>
      </c>
      <c r="K18" s="744"/>
      <c r="M18" s="745" t="s">
        <v>324</v>
      </c>
      <c r="N18" s="746"/>
      <c r="O18" s="111"/>
      <c r="P18" s="747" t="s">
        <v>211</v>
      </c>
      <c r="Q18" s="748"/>
      <c r="R18" s="17"/>
      <c r="S18" s="452" t="s">
        <v>217</v>
      </c>
      <c r="T18" s="14"/>
      <c r="W18" s="427" t="s">
        <v>204</v>
      </c>
      <c r="X18" s="136" t="s">
        <v>62</v>
      </c>
      <c r="Y18" s="135" t="s">
        <v>61</v>
      </c>
      <c r="Z18" s="134" t="s">
        <v>60</v>
      </c>
      <c r="AA18" s="426"/>
    </row>
    <row r="19" spans="1:29" ht="13.5" customHeight="1">
      <c r="A19" s="127" t="s">
        <v>54</v>
      </c>
      <c r="B19" s="124">
        <v>1</v>
      </c>
      <c r="C19" s="25"/>
      <c r="D19" s="138">
        <f>D21*60%</f>
        <v>277.20000000000005</v>
      </c>
      <c r="E19" s="121">
        <f t="shared" ref="E19:E24" si="6">$B19*D19</f>
        <v>277.20000000000005</v>
      </c>
      <c r="F19" s="36"/>
      <c r="G19" s="120">
        <f>G21*60%</f>
        <v>264</v>
      </c>
      <c r="H19" s="121">
        <f t="shared" ref="H19:H24" si="7">$B19*G19</f>
        <v>264</v>
      </c>
      <c r="I19" s="117"/>
      <c r="J19" s="120">
        <f>J21*60%</f>
        <v>224.40000000000003</v>
      </c>
      <c r="K19" s="121">
        <f t="shared" ref="K19:K24" si="8">$B19*J19</f>
        <v>224.40000000000003</v>
      </c>
      <c r="M19" s="120">
        <f>M21*60%</f>
        <v>201.29999999999998</v>
      </c>
      <c r="N19" s="121">
        <f t="shared" ref="N19:N24" si="9">$B19*M19</f>
        <v>201.29999999999998</v>
      </c>
      <c r="O19" s="15"/>
      <c r="P19" s="120">
        <f>P21*60%</f>
        <v>171.6</v>
      </c>
      <c r="Q19" s="121">
        <f t="shared" ref="Q19:Q24" si="10">$B19*P19</f>
        <v>171.6</v>
      </c>
      <c r="R19" s="11"/>
      <c r="S19" s="453" t="s">
        <v>101</v>
      </c>
      <c r="X19" s="133" t="s">
        <v>286</v>
      </c>
      <c r="Y19" s="132">
        <v>37</v>
      </c>
      <c r="Z19" s="131">
        <f t="shared" ref="Z19" si="11">ROUNDUP(Y19+AA19,0)</f>
        <v>44</v>
      </c>
      <c r="AA19" s="128">
        <f t="shared" ref="AA19" si="12">Y19*$P$1</f>
        <v>6.29</v>
      </c>
    </row>
    <row r="20" spans="1:29" ht="13.5" customHeight="1">
      <c r="A20" s="126" t="s">
        <v>8</v>
      </c>
      <c r="B20" s="125">
        <v>0</v>
      </c>
      <c r="C20" s="25"/>
      <c r="D20" s="138">
        <f>D21*60%</f>
        <v>277.20000000000005</v>
      </c>
      <c r="E20" s="121">
        <f t="shared" si="6"/>
        <v>0</v>
      </c>
      <c r="F20" s="33"/>
      <c r="G20" s="120">
        <f>G21*60%</f>
        <v>264</v>
      </c>
      <c r="H20" s="121">
        <f t="shared" si="7"/>
        <v>0</v>
      </c>
      <c r="I20" s="117"/>
      <c r="J20" s="120">
        <f>J21*60%</f>
        <v>224.40000000000003</v>
      </c>
      <c r="K20" s="121">
        <f t="shared" si="8"/>
        <v>0</v>
      </c>
      <c r="M20" s="120">
        <f>M21*60%</f>
        <v>201.29999999999998</v>
      </c>
      <c r="N20" s="121">
        <f t="shared" si="9"/>
        <v>0</v>
      </c>
      <c r="O20" s="11"/>
      <c r="P20" s="448">
        <v>150</v>
      </c>
      <c r="Q20" s="121">
        <f t="shared" si="10"/>
        <v>0</v>
      </c>
      <c r="R20" s="11"/>
      <c r="S20" s="453" t="s">
        <v>288</v>
      </c>
      <c r="X20" s="133" t="s">
        <v>58</v>
      </c>
      <c r="Y20" s="132">
        <v>55</v>
      </c>
      <c r="Z20" s="131">
        <f>ROUNDUP(Y20+AA20,0)</f>
        <v>65</v>
      </c>
      <c r="AA20" s="128">
        <f>Y20*$P$1</f>
        <v>9.3500000000000014</v>
      </c>
    </row>
    <row r="21" spans="1:29" ht="13.5" customHeight="1">
      <c r="A21" s="126" t="s">
        <v>9</v>
      </c>
      <c r="B21" s="125">
        <v>7</v>
      </c>
      <c r="C21" s="25"/>
      <c r="D21" s="123">
        <f>$X$29*(1+$S21)</f>
        <v>462.00000000000006</v>
      </c>
      <c r="E21" s="121">
        <f t="shared" si="6"/>
        <v>3234.0000000000005</v>
      </c>
      <c r="F21" s="33"/>
      <c r="G21" s="123">
        <f>$Y$29*(1+$S21)</f>
        <v>440.00000000000006</v>
      </c>
      <c r="H21" s="121">
        <f t="shared" si="7"/>
        <v>3080.0000000000005</v>
      </c>
      <c r="I21" s="117"/>
      <c r="J21" s="123">
        <f>$Z$29*(1+$S21)</f>
        <v>374.00000000000006</v>
      </c>
      <c r="K21" s="121">
        <f t="shared" si="8"/>
        <v>2618.0000000000005</v>
      </c>
      <c r="M21" s="123">
        <f>$AA$29*(1+$S21)</f>
        <v>335.5</v>
      </c>
      <c r="N21" s="121">
        <f t="shared" si="9"/>
        <v>2348.5</v>
      </c>
      <c r="O21" s="11"/>
      <c r="P21" s="123">
        <f>$AB$29*(1+$S21)</f>
        <v>286</v>
      </c>
      <c r="Q21" s="121">
        <f t="shared" si="10"/>
        <v>2002</v>
      </c>
      <c r="R21" s="11"/>
      <c r="S21" s="608">
        <v>0.1</v>
      </c>
      <c r="X21" s="133" t="s">
        <v>186</v>
      </c>
      <c r="Y21" s="132">
        <v>69</v>
      </c>
      <c r="Z21" s="131">
        <f>ROUNDUP(Y21+AA21,0)</f>
        <v>81</v>
      </c>
      <c r="AA21" s="128">
        <f>Y21*$P$1</f>
        <v>11.73</v>
      </c>
    </row>
    <row r="22" spans="1:29" ht="13.5" customHeight="1">
      <c r="A22" s="126" t="s">
        <v>10</v>
      </c>
      <c r="B22" s="124">
        <v>0</v>
      </c>
      <c r="C22" s="25"/>
      <c r="D22" s="138">
        <v>30</v>
      </c>
      <c r="E22" s="121">
        <f t="shared" si="6"/>
        <v>0</v>
      </c>
      <c r="F22" s="33"/>
      <c r="G22" s="122">
        <v>27</v>
      </c>
      <c r="H22" s="121">
        <f t="shared" si="7"/>
        <v>0</v>
      </c>
      <c r="I22" s="117"/>
      <c r="J22" s="122">
        <v>27</v>
      </c>
      <c r="K22" s="121">
        <f t="shared" si="8"/>
        <v>0</v>
      </c>
      <c r="M22" s="122">
        <v>22</v>
      </c>
      <c r="N22" s="121">
        <f t="shared" si="9"/>
        <v>0</v>
      </c>
      <c r="O22" s="11"/>
      <c r="P22" s="449">
        <v>1.1000000000000001</v>
      </c>
      <c r="Q22" s="121">
        <f t="shared" si="10"/>
        <v>0</v>
      </c>
      <c r="R22" s="11"/>
      <c r="T22" s="14"/>
      <c r="X22" s="165" t="s">
        <v>57</v>
      </c>
      <c r="Y22" s="130">
        <v>69</v>
      </c>
      <c r="Z22" s="129">
        <f>ROUNDUP(Y22+AA22,0)</f>
        <v>81</v>
      </c>
      <c r="AA22" s="128">
        <f>Y22*$P$1</f>
        <v>11.73</v>
      </c>
    </row>
    <row r="23" spans="1:29" ht="13.5" customHeight="1">
      <c r="A23" s="126" t="s">
        <v>11</v>
      </c>
      <c r="B23" s="124">
        <v>2</v>
      </c>
      <c r="C23" s="25"/>
      <c r="D23" s="138">
        <v>18</v>
      </c>
      <c r="E23" s="121">
        <f t="shared" si="6"/>
        <v>36</v>
      </c>
      <c r="F23" s="33"/>
      <c r="G23" s="120">
        <v>18</v>
      </c>
      <c r="H23" s="121">
        <f t="shared" si="7"/>
        <v>36</v>
      </c>
      <c r="I23" s="117"/>
      <c r="J23" s="120">
        <v>18</v>
      </c>
      <c r="K23" s="121">
        <f t="shared" si="8"/>
        <v>36</v>
      </c>
      <c r="M23" s="120">
        <v>16</v>
      </c>
      <c r="N23" s="121">
        <f t="shared" si="9"/>
        <v>32</v>
      </c>
      <c r="O23" s="15"/>
      <c r="P23" s="35">
        <v>16</v>
      </c>
      <c r="Q23" s="121">
        <f t="shared" si="10"/>
        <v>32</v>
      </c>
      <c r="R23" s="11"/>
      <c r="T23" s="14"/>
    </row>
    <row r="24" spans="1:29" ht="13.5" customHeight="1" thickBot="1">
      <c r="A24" s="127" t="s">
        <v>12</v>
      </c>
      <c r="B24" s="124">
        <v>1</v>
      </c>
      <c r="C24" s="25"/>
      <c r="D24" s="138">
        <f>D21*60%</f>
        <v>277.20000000000005</v>
      </c>
      <c r="E24" s="153">
        <f t="shared" si="6"/>
        <v>277.20000000000005</v>
      </c>
      <c r="F24" s="33"/>
      <c r="G24" s="120">
        <f>G21*60%</f>
        <v>264</v>
      </c>
      <c r="H24" s="153">
        <f t="shared" si="7"/>
        <v>264</v>
      </c>
      <c r="I24" s="117"/>
      <c r="J24" s="120">
        <f>J21*60%</f>
        <v>224.40000000000003</v>
      </c>
      <c r="K24" s="153">
        <f t="shared" si="8"/>
        <v>224.40000000000003</v>
      </c>
      <c r="M24" s="120">
        <f>M21*60%</f>
        <v>201.29999999999998</v>
      </c>
      <c r="N24" s="153">
        <f t="shared" si="9"/>
        <v>201.29999999999998</v>
      </c>
      <c r="O24" s="15"/>
      <c r="P24" s="120">
        <f>P21*60%</f>
        <v>171.6</v>
      </c>
      <c r="Q24" s="153">
        <f t="shared" si="10"/>
        <v>171.6</v>
      </c>
      <c r="R24" s="15"/>
      <c r="T24" s="14"/>
    </row>
    <row r="25" spans="1:29" ht="13.5" customHeight="1" thickBot="1">
      <c r="A25" s="27" t="s">
        <v>13</v>
      </c>
      <c r="B25" s="28"/>
      <c r="C25" s="38"/>
      <c r="D25" s="152" t="s">
        <v>14</v>
      </c>
      <c r="E25" s="154">
        <f>SUM(E19:E24)</f>
        <v>3824.4000000000005</v>
      </c>
      <c r="F25" s="39"/>
      <c r="G25" s="152" t="s">
        <v>14</v>
      </c>
      <c r="H25" s="658">
        <f>SUM(H19:H24)</f>
        <v>3644.0000000000005</v>
      </c>
      <c r="I25" s="144"/>
      <c r="J25" s="152" t="s">
        <v>14</v>
      </c>
      <c r="K25" s="155">
        <f>SUM(K19:K24)</f>
        <v>3102.8000000000006</v>
      </c>
      <c r="M25" s="152" t="s">
        <v>14</v>
      </c>
      <c r="N25" s="657">
        <f>SUM(N19:N24)</f>
        <v>2783.1000000000004</v>
      </c>
      <c r="O25" s="40"/>
      <c r="P25" s="450" t="s">
        <v>14</v>
      </c>
      <c r="Q25" s="656">
        <f>SUM(Q18:Q24)</f>
        <v>2377.1999999999998</v>
      </c>
      <c r="R25" s="15"/>
      <c r="T25" s="14"/>
      <c r="X25" s="169"/>
      <c r="Y25" s="170"/>
      <c r="Z25" s="168"/>
      <c r="AA25" s="168"/>
    </row>
    <row r="26" spans="1:29" ht="12" customHeight="1" thickBot="1">
      <c r="A26" s="41"/>
      <c r="B26" s="42"/>
      <c r="C26" s="43"/>
      <c r="D26" s="44"/>
      <c r="E26" s="45"/>
      <c r="F26" s="46"/>
      <c r="G26" s="47"/>
      <c r="H26" s="48"/>
      <c r="I26" s="49"/>
      <c r="J26" s="47"/>
      <c r="K26" s="48"/>
      <c r="L26" s="49"/>
      <c r="M26" s="492"/>
      <c r="N26" s="493">
        <f>$C33+M21</f>
        <v>600.5</v>
      </c>
      <c r="O26" s="49"/>
      <c r="P26" s="47"/>
      <c r="Q26" s="493">
        <f>$C33+P21</f>
        <v>551</v>
      </c>
      <c r="R26" s="49"/>
      <c r="T26" s="14"/>
      <c r="X26" s="730" t="s">
        <v>68</v>
      </c>
      <c r="Y26" s="731"/>
      <c r="Z26" s="731"/>
      <c r="AA26" s="731"/>
      <c r="AB26" s="732"/>
      <c r="AC26" s="575" t="s">
        <v>271</v>
      </c>
    </row>
    <row r="27" spans="1:29" ht="3.95" customHeight="1" thickTop="1">
      <c r="A27" s="50"/>
      <c r="B27" s="10"/>
      <c r="C27" s="51"/>
      <c r="D27" s="52"/>
      <c r="E27" s="52"/>
      <c r="F27" s="21"/>
      <c r="G27" s="398"/>
      <c r="H27" s="142"/>
      <c r="I27" s="143"/>
      <c r="J27" s="398"/>
      <c r="K27" s="398"/>
      <c r="L27" s="398"/>
      <c r="M27" s="398"/>
      <c r="N27" s="398"/>
      <c r="O27" s="398"/>
      <c r="P27" s="398"/>
      <c r="Q27" s="398"/>
      <c r="R27" s="143"/>
      <c r="T27" s="14"/>
      <c r="X27" s="580"/>
      <c r="Y27" s="581"/>
      <c r="Z27" s="581"/>
      <c r="AA27" s="581"/>
      <c r="AB27" s="582"/>
    </row>
    <row r="28" spans="1:29" ht="13.5" customHeight="1">
      <c r="A28" s="126" t="s">
        <v>269</v>
      </c>
      <c r="B28" s="145">
        <v>0</v>
      </c>
      <c r="C28" s="577">
        <v>20</v>
      </c>
      <c r="D28" s="578"/>
      <c r="E28" s="579">
        <f>B28*C28</f>
        <v>0</v>
      </c>
      <c r="F28" s="587" t="s">
        <v>276</v>
      </c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T28" s="14"/>
      <c r="X28" s="140" t="s">
        <v>53</v>
      </c>
      <c r="Y28" s="139" t="s">
        <v>56</v>
      </c>
      <c r="Z28" s="139" t="s">
        <v>7</v>
      </c>
      <c r="AA28" s="139" t="s">
        <v>222</v>
      </c>
      <c r="AB28" s="141" t="s">
        <v>215</v>
      </c>
    </row>
    <row r="29" spans="1:29" ht="13.5" customHeight="1" thickBot="1">
      <c r="A29" s="126" t="s">
        <v>15</v>
      </c>
      <c r="B29" s="145">
        <v>1</v>
      </c>
      <c r="C29" s="577">
        <v>16</v>
      </c>
      <c r="D29" s="578"/>
      <c r="E29" s="579">
        <f>B29*C29</f>
        <v>16</v>
      </c>
      <c r="F29" s="54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T29" s="14"/>
      <c r="X29" s="605">
        <v>420</v>
      </c>
      <c r="Y29" s="606">
        <v>400</v>
      </c>
      <c r="Z29" s="606">
        <v>340</v>
      </c>
      <c r="AA29" s="606">
        <f>AA34</f>
        <v>305</v>
      </c>
      <c r="AB29" s="607">
        <f>AB34</f>
        <v>260</v>
      </c>
    </row>
    <row r="30" spans="1:29" ht="13.5" customHeight="1" thickBot="1">
      <c r="A30" s="27" t="s">
        <v>16</v>
      </c>
      <c r="B30" s="28"/>
      <c r="C30" s="104"/>
      <c r="D30" s="118">
        <f>SUM(D28:D29)</f>
        <v>0</v>
      </c>
      <c r="E30" s="151">
        <f>SUM(E28:E29)</f>
        <v>16</v>
      </c>
      <c r="F30" s="33"/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T30" s="14"/>
      <c r="AA30" s="646" t="s">
        <v>323</v>
      </c>
      <c r="AB30" s="646" t="s">
        <v>323</v>
      </c>
    </row>
    <row r="31" spans="1:29" ht="6" customHeight="1">
      <c r="A31" s="16"/>
      <c r="B31" s="61"/>
      <c r="C31" s="37"/>
      <c r="D31" s="52"/>
      <c r="E31" s="52"/>
      <c r="F31" s="33"/>
      <c r="G31" s="491"/>
      <c r="H31" s="491"/>
      <c r="I31" s="491"/>
      <c r="J31" s="491"/>
      <c r="K31" s="491"/>
      <c r="L31" s="491"/>
      <c r="M31" s="491"/>
      <c r="N31" s="491"/>
      <c r="O31" s="17"/>
      <c r="P31" s="17"/>
      <c r="Q31" s="17"/>
      <c r="R31" s="17"/>
      <c r="T31" s="14"/>
      <c r="Z31" s="481"/>
      <c r="AA31" s="482"/>
      <c r="AB31" s="483"/>
    </row>
    <row r="32" spans="1:29" ht="13.5" customHeight="1">
      <c r="A32" s="113" t="s">
        <v>17</v>
      </c>
      <c r="B32" s="145">
        <v>1</v>
      </c>
      <c r="C32" s="280">
        <f>C33*60%</f>
        <v>159</v>
      </c>
      <c r="D32" s="18"/>
      <c r="E32" s="119">
        <f>B32*C32</f>
        <v>159</v>
      </c>
      <c r="F32" s="62" t="s">
        <v>18</v>
      </c>
      <c r="G32" s="22"/>
      <c r="H32" s="19"/>
      <c r="I32" s="15"/>
      <c r="J32" s="15"/>
      <c r="K32" s="15"/>
      <c r="L32" s="15"/>
      <c r="M32" s="119"/>
      <c r="N32" s="491"/>
      <c r="O32" s="15"/>
      <c r="P32" s="15"/>
      <c r="Q32" s="15"/>
      <c r="R32" s="17"/>
      <c r="T32" s="14"/>
      <c r="Z32" s="484" t="s">
        <v>212</v>
      </c>
      <c r="AA32" s="275">
        <v>220</v>
      </c>
      <c r="AB32" s="485">
        <v>180</v>
      </c>
      <c r="AC32" s="575" t="s">
        <v>270</v>
      </c>
    </row>
    <row r="33" spans="1:30" ht="13.5" customHeight="1">
      <c r="A33" s="113" t="s">
        <v>19</v>
      </c>
      <c r="B33" s="146">
        <v>6</v>
      </c>
      <c r="C33" s="280">
        <v>265</v>
      </c>
      <c r="D33" s="18"/>
      <c r="E33" s="119">
        <f>B33*C33</f>
        <v>1590</v>
      </c>
      <c r="F33" s="63"/>
      <c r="G33" s="22"/>
      <c r="H33" s="19"/>
      <c r="I33" s="15"/>
      <c r="J33" s="15"/>
      <c r="K33" s="15"/>
      <c r="L33" s="478"/>
      <c r="M33" s="119"/>
      <c r="N33" s="15"/>
      <c r="O33" s="15"/>
      <c r="P33" s="15"/>
      <c r="Q33" s="15"/>
      <c r="R33" s="17"/>
      <c r="S33" s="114"/>
      <c r="T33" s="14"/>
      <c r="Z33" s="484" t="s">
        <v>213</v>
      </c>
      <c r="AA33" s="275">
        <v>85</v>
      </c>
      <c r="AB33" s="485">
        <v>80</v>
      </c>
    </row>
    <row r="34" spans="1:30" ht="13.5" customHeight="1">
      <c r="A34" s="113" t="s">
        <v>20</v>
      </c>
      <c r="B34" s="146">
        <f>B33</f>
        <v>6</v>
      </c>
      <c r="C34" s="280">
        <v>30</v>
      </c>
      <c r="D34" s="18"/>
      <c r="E34" s="119">
        <f>B34*C34</f>
        <v>180</v>
      </c>
      <c r="F34" s="64" t="s">
        <v>21</v>
      </c>
      <c r="G34" s="22"/>
      <c r="H34" s="19"/>
      <c r="I34" s="15"/>
      <c r="J34" s="15"/>
      <c r="K34" s="15"/>
      <c r="L34" s="167"/>
      <c r="M34" s="119"/>
      <c r="N34" s="15"/>
      <c r="O34" s="15"/>
      <c r="P34" s="15"/>
      <c r="Q34" s="15"/>
      <c r="R34" s="17"/>
      <c r="T34" s="14"/>
      <c r="Z34" s="486" t="s">
        <v>214</v>
      </c>
      <c r="AA34" s="477">
        <f>SUM(AA32:AA33)</f>
        <v>305</v>
      </c>
      <c r="AB34" s="487">
        <f>SUM(AB32:AB33)</f>
        <v>260</v>
      </c>
    </row>
    <row r="35" spans="1:30" ht="13.5" customHeight="1" thickBot="1">
      <c r="A35" s="649" t="s">
        <v>333</v>
      </c>
      <c r="B35" s="650">
        <v>1</v>
      </c>
      <c r="C35" s="651">
        <f>C33*50%</f>
        <v>132.5</v>
      </c>
      <c r="D35" s="44"/>
      <c r="E35" s="652">
        <f>B35*C35</f>
        <v>132.5</v>
      </c>
      <c r="F35" s="653"/>
      <c r="G35" s="47"/>
      <c r="H35" s="47"/>
      <c r="I35" s="15"/>
      <c r="J35" s="15"/>
      <c r="K35" s="15"/>
      <c r="L35" s="167"/>
      <c r="M35" s="119"/>
      <c r="N35" s="15"/>
      <c r="O35" s="15"/>
      <c r="P35" s="15"/>
      <c r="Q35" s="15"/>
      <c r="R35" s="17"/>
      <c r="T35" s="14"/>
      <c r="Z35" s="484" t="s">
        <v>93</v>
      </c>
      <c r="AA35" s="275">
        <f>C33</f>
        <v>265</v>
      </c>
      <c r="AB35" s="485">
        <f>C33</f>
        <v>265</v>
      </c>
    </row>
    <row r="36" spans="1:30" ht="13.5" customHeight="1" thickTop="1">
      <c r="A36" s="113" t="s">
        <v>23</v>
      </c>
      <c r="B36" s="654">
        <v>6</v>
      </c>
      <c r="C36" s="280">
        <v>15</v>
      </c>
      <c r="D36" s="112">
        <f>B36*C36</f>
        <v>90</v>
      </c>
      <c r="E36" s="112">
        <v>34</v>
      </c>
      <c r="F36" s="137" t="s">
        <v>63</v>
      </c>
      <c r="G36" s="116"/>
      <c r="H36" s="66"/>
      <c r="I36" s="111"/>
      <c r="J36" s="15"/>
      <c r="K36" s="15"/>
      <c r="L36" s="167"/>
      <c r="M36" s="119"/>
      <c r="N36" s="119"/>
      <c r="O36" s="40"/>
      <c r="P36" s="15"/>
      <c r="Q36" s="15"/>
      <c r="R36" s="17"/>
      <c r="S36" s="114"/>
      <c r="T36" s="14"/>
      <c r="Z36" s="488" t="s">
        <v>104</v>
      </c>
      <c r="AA36" s="489">
        <f>SUM(AA34:AA35)</f>
        <v>570</v>
      </c>
      <c r="AB36" s="490">
        <f>SUM(AB34:AB35)</f>
        <v>525</v>
      </c>
    </row>
    <row r="37" spans="1:30" ht="13.5" customHeight="1">
      <c r="A37" s="576" t="s">
        <v>201</v>
      </c>
      <c r="B37" s="145">
        <v>1</v>
      </c>
      <c r="C37" s="280">
        <v>55</v>
      </c>
      <c r="D37" s="277">
        <f t="shared" ref="D37:D46" si="13">B37*C37</f>
        <v>55</v>
      </c>
      <c r="E37" s="18"/>
      <c r="F37" s="57">
        <v>155</v>
      </c>
      <c r="G37" s="57">
        <v>110</v>
      </c>
      <c r="H37" s="57">
        <f>F37-G37</f>
        <v>45</v>
      </c>
      <c r="I37" s="58">
        <f>$X$1</f>
        <v>3.45</v>
      </c>
      <c r="J37" s="164">
        <f>H37/I37</f>
        <v>13.043478260869565</v>
      </c>
      <c r="K37" s="56"/>
      <c r="L37" s="167"/>
      <c r="M37" s="119"/>
      <c r="N37" s="119"/>
      <c r="O37" s="40"/>
      <c r="P37" s="15"/>
      <c r="Q37" s="15"/>
      <c r="R37" s="17"/>
      <c r="T37" s="14"/>
    </row>
    <row r="38" spans="1:30" ht="13.5" customHeight="1">
      <c r="A38" s="113" t="s">
        <v>55</v>
      </c>
      <c r="B38" s="145">
        <v>1</v>
      </c>
      <c r="C38" s="280">
        <v>15</v>
      </c>
      <c r="D38" s="277">
        <f>B38*C38</f>
        <v>15</v>
      </c>
      <c r="E38" s="12"/>
      <c r="F38" s="164"/>
      <c r="G38" s="164"/>
      <c r="H38" s="56"/>
      <c r="I38" s="65"/>
      <c r="J38" s="68"/>
      <c r="K38" s="57"/>
      <c r="L38" s="167"/>
      <c r="M38" s="119"/>
      <c r="N38" s="119"/>
      <c r="O38" s="40"/>
      <c r="P38" s="15"/>
      <c r="Q38" s="15"/>
      <c r="R38" s="17"/>
      <c r="T38" s="14"/>
    </row>
    <row r="39" spans="1:30" ht="13.5" customHeight="1">
      <c r="A39" s="113" t="s">
        <v>24</v>
      </c>
      <c r="B39" s="145">
        <v>0</v>
      </c>
      <c r="C39" s="280">
        <v>13</v>
      </c>
      <c r="D39" s="277">
        <f t="shared" ref="D39:D41" si="14">B39*C39</f>
        <v>0</v>
      </c>
      <c r="E39" s="18"/>
      <c r="F39" s="67"/>
      <c r="G39" s="55"/>
      <c r="H39" s="56"/>
      <c r="I39" s="15"/>
      <c r="J39" s="57"/>
      <c r="K39" s="58"/>
      <c r="L39" s="167"/>
      <c r="M39" s="119"/>
      <c r="N39" s="119"/>
      <c r="O39" s="40"/>
      <c r="P39" s="15"/>
      <c r="Q39" s="15"/>
      <c r="R39" s="17"/>
      <c r="T39" s="14"/>
      <c r="W39" s="596" t="s">
        <v>284</v>
      </c>
      <c r="AD39" s="575"/>
    </row>
    <row r="40" spans="1:30" ht="13.5" customHeight="1">
      <c r="A40" s="113" t="s">
        <v>110</v>
      </c>
      <c r="B40" s="198">
        <v>0</v>
      </c>
      <c r="C40" s="280">
        <v>10</v>
      </c>
      <c r="D40" s="277">
        <f t="shared" si="14"/>
        <v>0</v>
      </c>
      <c r="E40" s="277"/>
      <c r="F40" s="281">
        <v>38</v>
      </c>
      <c r="G40" s="282">
        <f>$X$1</f>
        <v>3.45</v>
      </c>
      <c r="H40" s="283">
        <f>F40/G40</f>
        <v>11.014492753623188</v>
      </c>
      <c r="I40" s="283"/>
      <c r="J40" s="281"/>
      <c r="K40" s="282"/>
      <c r="L40" s="283"/>
      <c r="M40" s="283"/>
      <c r="N40" s="117"/>
      <c r="O40" s="117"/>
      <c r="P40" s="15"/>
      <c r="Q40" s="15"/>
      <c r="R40" s="17"/>
      <c r="T40" s="14"/>
      <c r="W40" s="593" t="s">
        <v>283</v>
      </c>
      <c r="X40" s="591" t="s">
        <v>281</v>
      </c>
      <c r="Y40" s="592">
        <v>0.15</v>
      </c>
      <c r="Z40" s="591" t="s">
        <v>282</v>
      </c>
      <c r="AA40" s="594">
        <v>3.35</v>
      </c>
    </row>
    <row r="41" spans="1:30" ht="13.5" customHeight="1">
      <c r="A41" s="113" t="s">
        <v>340</v>
      </c>
      <c r="B41" s="198">
        <v>6</v>
      </c>
      <c r="C41" s="280">
        <v>2</v>
      </c>
      <c r="D41" s="277">
        <f t="shared" si="14"/>
        <v>12</v>
      </c>
      <c r="E41" s="277"/>
      <c r="F41" s="284"/>
      <c r="G41" s="285"/>
      <c r="H41" s="286"/>
      <c r="I41" s="287"/>
      <c r="J41" s="287"/>
      <c r="K41" s="117"/>
      <c r="L41" s="117"/>
      <c r="M41" s="117"/>
      <c r="N41" s="117"/>
      <c r="O41" s="117"/>
      <c r="P41" s="15"/>
      <c r="Q41" s="15"/>
      <c r="R41" s="17"/>
      <c r="T41" s="14"/>
      <c r="W41" s="589" t="s">
        <v>277</v>
      </c>
      <c r="X41" s="588">
        <v>100</v>
      </c>
      <c r="Y41" s="590">
        <f>ROUNDUP(X41*Y$40,0)</f>
        <v>15</v>
      </c>
      <c r="Z41" s="590">
        <f>X41+Y41</f>
        <v>115</v>
      </c>
      <c r="AA41" s="595">
        <f>ROUNDUP(Z41/AA$40,0)</f>
        <v>35</v>
      </c>
    </row>
    <row r="42" spans="1:30" ht="13.5" customHeight="1">
      <c r="A42" s="113" t="s">
        <v>362</v>
      </c>
      <c r="B42" s="198">
        <v>1</v>
      </c>
      <c r="C42" s="280">
        <v>180</v>
      </c>
      <c r="E42" s="277">
        <f>B42*C42</f>
        <v>180</v>
      </c>
      <c r="F42" s="69"/>
      <c r="G42" s="171"/>
      <c r="H42" s="172"/>
      <c r="I42" s="173"/>
      <c r="J42" s="55"/>
      <c r="K42" s="70"/>
      <c r="L42" s="167"/>
      <c r="M42" s="119"/>
      <c r="N42" s="279"/>
      <c r="O42" s="40"/>
      <c r="P42" s="15"/>
      <c r="Q42" s="15"/>
      <c r="R42" s="17"/>
      <c r="T42" s="14"/>
      <c r="W42" s="589" t="s">
        <v>278</v>
      </c>
      <c r="X42" s="588">
        <v>120</v>
      </c>
      <c r="Y42" s="590">
        <f>ROUNDUP(X42*Y$40,0)</f>
        <v>18</v>
      </c>
      <c r="Z42" s="590">
        <f t="shared" ref="Z42:Z44" si="15">X42+Y42</f>
        <v>138</v>
      </c>
      <c r="AA42" s="595">
        <f t="shared" ref="AA42:AA44" si="16">ROUNDUP(Z42/AA$40,0)</f>
        <v>42</v>
      </c>
    </row>
    <row r="43" spans="1:30" ht="13.5" customHeight="1">
      <c r="A43" s="113" t="s">
        <v>361</v>
      </c>
      <c r="B43" s="198">
        <v>1</v>
      </c>
      <c r="C43" s="280">
        <v>180</v>
      </c>
      <c r="E43" s="277">
        <f>B43*C43</f>
        <v>180</v>
      </c>
      <c r="F43" s="281"/>
      <c r="G43" s="282"/>
      <c r="H43" s="283"/>
      <c r="I43" s="173"/>
      <c r="J43" s="55"/>
      <c r="K43" s="70"/>
      <c r="L43" s="167"/>
      <c r="M43" s="119"/>
      <c r="N43" s="279"/>
      <c r="O43" s="40"/>
      <c r="P43" s="15"/>
      <c r="Q43" s="15"/>
      <c r="R43" s="17"/>
      <c r="T43" s="14"/>
      <c r="W43" s="589" t="s">
        <v>279</v>
      </c>
      <c r="X43" s="588">
        <v>140</v>
      </c>
      <c r="Y43" s="590">
        <f>ROUNDUP(X43*Y$40,0)</f>
        <v>21</v>
      </c>
      <c r="Z43" s="590">
        <f t="shared" si="15"/>
        <v>161</v>
      </c>
      <c r="AA43" s="595">
        <f t="shared" si="16"/>
        <v>49</v>
      </c>
    </row>
    <row r="44" spans="1:30" ht="13.5" customHeight="1">
      <c r="A44" s="113" t="s">
        <v>360</v>
      </c>
      <c r="B44" s="198">
        <v>1</v>
      </c>
      <c r="C44" s="280">
        <v>15</v>
      </c>
      <c r="D44" s="277">
        <f t="shared" ref="D44:D45" si="17">B44*C44</f>
        <v>15</v>
      </c>
      <c r="E44" s="277"/>
      <c r="F44" s="281">
        <v>35</v>
      </c>
      <c r="G44" s="282">
        <f>$X$1</f>
        <v>3.45</v>
      </c>
      <c r="H44" s="283">
        <f>F44/G44</f>
        <v>10.144927536231883</v>
      </c>
      <c r="I44" s="173"/>
      <c r="J44" s="55"/>
      <c r="K44" s="70"/>
      <c r="L44" s="167"/>
      <c r="M44" s="119"/>
      <c r="N44" s="279"/>
      <c r="O44" s="40"/>
      <c r="P44" s="15"/>
      <c r="Q44" s="15"/>
      <c r="R44" s="17"/>
      <c r="T44" s="14"/>
      <c r="W44" s="589" t="s">
        <v>280</v>
      </c>
      <c r="X44" s="588">
        <v>170</v>
      </c>
      <c r="Y44" s="590">
        <f>ROUNDUP(X44*Y$40,0)</f>
        <v>26</v>
      </c>
      <c r="Z44" s="590">
        <f t="shared" si="15"/>
        <v>196</v>
      </c>
      <c r="AA44" s="595">
        <f t="shared" si="16"/>
        <v>59</v>
      </c>
    </row>
    <row r="45" spans="1:30" ht="13.5" customHeight="1">
      <c r="A45" s="113" t="s">
        <v>25</v>
      </c>
      <c r="B45" s="145">
        <v>1</v>
      </c>
      <c r="C45" s="280">
        <v>40</v>
      </c>
      <c r="D45" s="277">
        <f t="shared" si="17"/>
        <v>40</v>
      </c>
      <c r="E45" s="18"/>
      <c r="F45" s="69"/>
      <c r="G45" s="171">
        <v>115</v>
      </c>
      <c r="H45" s="172">
        <f>$X$1</f>
        <v>3.45</v>
      </c>
      <c r="I45" s="173">
        <f>G45/H45</f>
        <v>33.333333333333329</v>
      </c>
      <c r="J45" s="55"/>
      <c r="K45" s="171">
        <v>97</v>
      </c>
      <c r="L45" s="172">
        <f>$X$1</f>
        <v>3.45</v>
      </c>
      <c r="M45" s="173">
        <f>K45/L45</f>
        <v>28.115942028985504</v>
      </c>
      <c r="N45" s="119"/>
      <c r="O45" s="40"/>
      <c r="P45" s="15"/>
      <c r="Q45" s="15"/>
      <c r="R45" s="17"/>
      <c r="T45" s="14"/>
    </row>
    <row r="46" spans="1:30" ht="13.5" customHeight="1" thickBot="1">
      <c r="A46" s="113" t="s">
        <v>109</v>
      </c>
      <c r="B46" s="145">
        <v>1</v>
      </c>
      <c r="C46" s="280">
        <v>10</v>
      </c>
      <c r="D46" s="277">
        <f t="shared" si="13"/>
        <v>10</v>
      </c>
      <c r="E46" s="18"/>
      <c r="F46" s="65"/>
      <c r="G46" s="55"/>
      <c r="H46" s="56"/>
      <c r="I46" s="65"/>
      <c r="J46" s="68"/>
      <c r="K46" s="15"/>
      <c r="L46" s="119"/>
      <c r="M46" s="119"/>
      <c r="N46" s="40"/>
      <c r="O46" s="15"/>
      <c r="P46" s="15"/>
      <c r="Q46" s="15"/>
      <c r="R46" s="17"/>
      <c r="T46" s="14"/>
    </row>
    <row r="47" spans="1:30" ht="13.5" customHeight="1" thickBot="1">
      <c r="A47" s="27" t="s">
        <v>26</v>
      </c>
      <c r="B47" s="28"/>
      <c r="C47" s="105"/>
      <c r="D47" s="59">
        <f>SUM(D32:D46)</f>
        <v>237</v>
      </c>
      <c r="E47" s="59">
        <f>SUM(E32:E46)</f>
        <v>2455.5</v>
      </c>
      <c r="F47" s="60"/>
      <c r="G47" s="270">
        <v>1</v>
      </c>
      <c r="H47" s="270">
        <v>2</v>
      </c>
      <c r="I47" s="270">
        <v>4</v>
      </c>
      <c r="K47" s="71"/>
      <c r="L47" s="15"/>
      <c r="M47" s="15"/>
      <c r="N47" s="274">
        <f>$P$1</f>
        <v>0.17</v>
      </c>
      <c r="O47" s="15"/>
      <c r="P47" s="71"/>
      <c r="Q47" s="71"/>
      <c r="R47" s="17"/>
      <c r="T47" s="14"/>
    </row>
    <row r="48" spans="1:30" ht="13.5" customHeight="1">
      <c r="A48" s="72" t="s">
        <v>27</v>
      </c>
      <c r="B48" s="26"/>
      <c r="C48" s="37"/>
      <c r="D48" s="73"/>
      <c r="E48" s="73"/>
      <c r="F48" s="74"/>
      <c r="G48" s="273" t="s">
        <v>359</v>
      </c>
      <c r="H48" s="273" t="s">
        <v>45</v>
      </c>
      <c r="I48" s="273" t="s">
        <v>102</v>
      </c>
      <c r="K48" s="273"/>
      <c r="L48" s="273" t="s">
        <v>103</v>
      </c>
      <c r="M48" s="273" t="s">
        <v>104</v>
      </c>
      <c r="N48" s="271" t="s">
        <v>22</v>
      </c>
      <c r="O48" s="271" t="s">
        <v>105</v>
      </c>
      <c r="P48" s="163"/>
      <c r="Q48" s="163"/>
      <c r="R48" s="17"/>
      <c r="T48" s="14"/>
    </row>
    <row r="49" spans="1:20" ht="13.5" customHeight="1">
      <c r="A49" s="113" t="s">
        <v>106</v>
      </c>
      <c r="B49" s="145">
        <v>1</v>
      </c>
      <c r="C49" s="276">
        <f>ROUNDUP(O49,0)</f>
        <v>1568</v>
      </c>
      <c r="D49" s="18"/>
      <c r="E49" s="119">
        <f>(B49*C49)*50%</f>
        <v>784</v>
      </c>
      <c r="F49" s="74"/>
      <c r="G49" s="275">
        <f>D5</f>
        <v>90</v>
      </c>
      <c r="H49" s="272">
        <f>D6</f>
        <v>180</v>
      </c>
      <c r="I49" s="272">
        <f>D7</f>
        <v>440</v>
      </c>
      <c r="J49" s="272"/>
      <c r="K49" s="272"/>
      <c r="L49" s="272">
        <f>N10</f>
        <v>630</v>
      </c>
      <c r="M49" s="275">
        <f>SUM(G49:L49)</f>
        <v>1340</v>
      </c>
      <c r="N49" s="272">
        <f>M49*N$47</f>
        <v>227.8</v>
      </c>
      <c r="O49" s="275">
        <f>M49+N49</f>
        <v>1567.8</v>
      </c>
      <c r="P49" s="75"/>
      <c r="Q49" s="75"/>
      <c r="R49" s="17"/>
      <c r="T49" s="14"/>
    </row>
    <row r="50" spans="1:20" ht="13.5" customHeight="1">
      <c r="A50" s="113" t="s">
        <v>107</v>
      </c>
      <c r="B50" s="145">
        <v>1</v>
      </c>
      <c r="C50" s="276">
        <f>ROUNDUP(O50,0)</f>
        <v>305</v>
      </c>
      <c r="D50" s="18"/>
      <c r="E50" s="18">
        <f>(B50*C50)*50%</f>
        <v>152.5</v>
      </c>
      <c r="F50" s="74"/>
      <c r="G50" s="275"/>
      <c r="H50" s="272">
        <f>H49</f>
        <v>180</v>
      </c>
      <c r="I50" s="272"/>
      <c r="J50" s="272"/>
      <c r="K50" s="272"/>
      <c r="L50" s="272">
        <f>N5</f>
        <v>80</v>
      </c>
      <c r="M50" s="272">
        <f>SUM(G50:L50)</f>
        <v>260</v>
      </c>
      <c r="N50" s="272">
        <f>M50*N$47</f>
        <v>44.2</v>
      </c>
      <c r="O50" s="275">
        <f>M50+N50</f>
        <v>304.2</v>
      </c>
      <c r="P50" s="75"/>
      <c r="Q50" s="75"/>
      <c r="R50" s="17"/>
      <c r="T50" s="14"/>
    </row>
    <row r="51" spans="1:20" ht="13.5" customHeight="1" thickBot="1">
      <c r="A51" s="113" t="s">
        <v>46</v>
      </c>
      <c r="B51" s="145">
        <v>0</v>
      </c>
      <c r="C51" s="106">
        <v>120</v>
      </c>
      <c r="D51" s="18"/>
      <c r="E51" s="18">
        <f>(B51*C51)</f>
        <v>0</v>
      </c>
      <c r="F51" s="76"/>
      <c r="G51" s="466"/>
      <c r="H51" s="467"/>
      <c r="I51" s="466"/>
      <c r="J51" s="466"/>
      <c r="K51" s="466"/>
      <c r="L51" s="468"/>
      <c r="M51" s="468"/>
      <c r="N51" s="468"/>
      <c r="O51" s="467"/>
      <c r="P51" s="467"/>
      <c r="Q51" s="467"/>
      <c r="R51" s="31"/>
      <c r="T51" s="14"/>
    </row>
    <row r="52" spans="1:20" ht="13.5" customHeight="1" thickBot="1">
      <c r="A52" s="27" t="s">
        <v>28</v>
      </c>
      <c r="B52" s="28"/>
      <c r="C52" s="105"/>
      <c r="D52" s="59">
        <f>SUM(D49:D51)</f>
        <v>0</v>
      </c>
      <c r="E52" s="465">
        <f>SUM(E49:E51)</f>
        <v>936.5</v>
      </c>
      <c r="F52" s="469" t="s">
        <v>218</v>
      </c>
      <c r="G52" s="470"/>
      <c r="H52" s="475" t="s">
        <v>108</v>
      </c>
      <c r="I52" s="476" t="s">
        <v>119</v>
      </c>
      <c r="J52" s="471"/>
      <c r="K52" s="472"/>
      <c r="L52" s="476" t="s">
        <v>100</v>
      </c>
      <c r="M52" s="471"/>
      <c r="N52" s="473"/>
      <c r="O52" s="476" t="s">
        <v>99</v>
      </c>
      <c r="P52" s="471"/>
      <c r="Q52" s="471"/>
      <c r="R52" s="474"/>
      <c r="T52" s="14"/>
    </row>
    <row r="53" spans="1:20" ht="13.9" customHeight="1">
      <c r="A53" s="447" t="s">
        <v>29</v>
      </c>
      <c r="B53" s="26"/>
      <c r="C53" s="30"/>
      <c r="D53" s="26"/>
      <c r="E53" s="78"/>
      <c r="F53" s="618">
        <f>$Q$25</f>
        <v>2377.1999999999998</v>
      </c>
      <c r="G53" s="609">
        <f>$N$25</f>
        <v>2783.1000000000004</v>
      </c>
      <c r="H53" s="610">
        <f>$N$25</f>
        <v>2783.1000000000004</v>
      </c>
      <c r="I53" s="611">
        <f>$K25</f>
        <v>3102.8000000000006</v>
      </c>
      <c r="J53" s="611">
        <f>$K25</f>
        <v>3102.8000000000006</v>
      </c>
      <c r="K53" s="612">
        <f>$K25</f>
        <v>3102.8000000000006</v>
      </c>
      <c r="L53" s="613">
        <f>$H$25</f>
        <v>3644.0000000000005</v>
      </c>
      <c r="M53" s="613">
        <f>$H$25</f>
        <v>3644.0000000000005</v>
      </c>
      <c r="N53" s="614">
        <f>$H$25</f>
        <v>3644.0000000000005</v>
      </c>
      <c r="O53" s="615">
        <f t="shared" ref="O53:R53" si="18">$E$25</f>
        <v>3824.4000000000005</v>
      </c>
      <c r="P53" s="616">
        <f t="shared" si="18"/>
        <v>3824.4000000000005</v>
      </c>
      <c r="Q53" s="616">
        <f t="shared" si="18"/>
        <v>3824.4000000000005</v>
      </c>
      <c r="R53" s="617">
        <f t="shared" si="18"/>
        <v>3824.4000000000005</v>
      </c>
      <c r="T53" s="14"/>
    </row>
    <row r="54" spans="1:20" ht="13.5" customHeight="1">
      <c r="A54" s="447" t="s">
        <v>30</v>
      </c>
      <c r="B54" s="10"/>
      <c r="C54" s="79"/>
      <c r="D54" s="147"/>
      <c r="E54" s="147"/>
      <c r="F54" s="157">
        <v>4</v>
      </c>
      <c r="G54" s="267">
        <v>6</v>
      </c>
      <c r="H54" s="158">
        <v>8</v>
      </c>
      <c r="I54" s="159">
        <v>10</v>
      </c>
      <c r="J54" s="159">
        <v>12</v>
      </c>
      <c r="K54" s="158">
        <v>14</v>
      </c>
      <c r="L54" s="159">
        <v>15</v>
      </c>
      <c r="M54" s="159">
        <v>20</v>
      </c>
      <c r="N54" s="158">
        <v>25</v>
      </c>
      <c r="O54" s="267">
        <v>30</v>
      </c>
      <c r="P54" s="159">
        <v>35</v>
      </c>
      <c r="Q54" s="159">
        <v>40</v>
      </c>
      <c r="R54" s="158">
        <v>45</v>
      </c>
      <c r="T54" s="14"/>
    </row>
    <row r="55" spans="1:20">
      <c r="A55" s="447" t="s">
        <v>31</v>
      </c>
      <c r="B55" s="80"/>
      <c r="C55" s="81"/>
      <c r="D55" s="147"/>
      <c r="E55" s="147"/>
      <c r="F55" s="148">
        <f t="shared" ref="F55:R55" si="19">F53/F54</f>
        <v>594.29999999999995</v>
      </c>
      <c r="G55" s="148">
        <f t="shared" si="19"/>
        <v>463.85000000000008</v>
      </c>
      <c r="H55" s="148">
        <f t="shared" si="19"/>
        <v>347.88750000000005</v>
      </c>
      <c r="I55" s="148">
        <f t="shared" si="19"/>
        <v>310.28000000000009</v>
      </c>
      <c r="J55" s="148">
        <f t="shared" si="19"/>
        <v>258.56666666666672</v>
      </c>
      <c r="K55" s="148">
        <f t="shared" si="19"/>
        <v>221.62857142857146</v>
      </c>
      <c r="L55" s="148">
        <f t="shared" si="19"/>
        <v>242.93333333333337</v>
      </c>
      <c r="M55" s="148">
        <f t="shared" si="19"/>
        <v>182.20000000000002</v>
      </c>
      <c r="N55" s="148">
        <f t="shared" si="19"/>
        <v>145.76000000000002</v>
      </c>
      <c r="O55" s="148">
        <f t="shared" si="19"/>
        <v>127.48000000000002</v>
      </c>
      <c r="P55" s="148">
        <f t="shared" si="19"/>
        <v>109.26857142857145</v>
      </c>
      <c r="Q55" s="148">
        <f t="shared" si="19"/>
        <v>95.610000000000014</v>
      </c>
      <c r="R55" s="148">
        <f t="shared" si="19"/>
        <v>84.986666666666679</v>
      </c>
      <c r="T55" s="14"/>
    </row>
    <row r="56" spans="1:20">
      <c r="A56" s="447" t="s">
        <v>116</v>
      </c>
      <c r="B56" s="80"/>
      <c r="C56" s="81"/>
      <c r="D56" s="147"/>
      <c r="E56" s="322">
        <f>-E50</f>
        <v>-152.5</v>
      </c>
      <c r="F56" s="323">
        <f>$E56/F$54</f>
        <v>-38.125</v>
      </c>
      <c r="G56" s="323">
        <f>$E56/G$54</f>
        <v>-25.416666666666668</v>
      </c>
      <c r="H56" s="323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T56" s="14"/>
    </row>
    <row r="57" spans="1:20">
      <c r="A57" s="447" t="s">
        <v>336</v>
      </c>
      <c r="B57" s="494">
        <v>0</v>
      </c>
      <c r="C57" s="494">
        <v>75</v>
      </c>
      <c r="D57" s="442"/>
      <c r="E57" s="443">
        <f>B57*C57</f>
        <v>0</v>
      </c>
      <c r="F57" s="397"/>
      <c r="G57" s="397"/>
      <c r="H57" s="397"/>
      <c r="I57" s="149"/>
      <c r="J57" s="149"/>
      <c r="K57" s="149"/>
      <c r="L57" s="665">
        <f t="shared" ref="L57:N57" si="20">$E$57/L54</f>
        <v>0</v>
      </c>
      <c r="M57" s="665">
        <f t="shared" si="20"/>
        <v>0</v>
      </c>
      <c r="N57" s="665">
        <f t="shared" si="20"/>
        <v>0</v>
      </c>
      <c r="O57" s="665">
        <f>$E$57/O54</f>
        <v>0</v>
      </c>
      <c r="P57" s="665">
        <f t="shared" ref="P57:R57" si="21">$E$57/P54</f>
        <v>0</v>
      </c>
      <c r="Q57" s="665">
        <f t="shared" si="21"/>
        <v>0</v>
      </c>
      <c r="R57" s="665">
        <f t="shared" si="21"/>
        <v>0</v>
      </c>
      <c r="T57" s="14"/>
    </row>
    <row r="58" spans="1:20">
      <c r="A58" s="447" t="s">
        <v>272</v>
      </c>
      <c r="B58" s="494">
        <v>1</v>
      </c>
      <c r="C58" s="81"/>
      <c r="D58" s="442"/>
      <c r="E58" s="443"/>
      <c r="F58" s="397">
        <f>ROUNDUP($Z$11/F$54,0)*$B58</f>
        <v>8</v>
      </c>
      <c r="G58" s="397">
        <f>ROUNDUP($Z$12/G$54,0)*$B58</f>
        <v>7</v>
      </c>
      <c r="H58" s="397">
        <f>ROUNDUP($Z$13/H$54,0)*$B58</f>
        <v>7</v>
      </c>
      <c r="I58" s="397">
        <f>ROUNDUP($Z$13/I$54,0)*$B58</f>
        <v>6</v>
      </c>
      <c r="J58" s="397">
        <f>ROUNDUP($Z$13/J$54,0)*$B58</f>
        <v>5</v>
      </c>
      <c r="K58" s="397">
        <f t="shared" ref="K58:R58" si="22">ROUNDUP($Z$14/K$54,0)*$B58</f>
        <v>5</v>
      </c>
      <c r="L58" s="397">
        <f t="shared" si="22"/>
        <v>5</v>
      </c>
      <c r="M58" s="397">
        <f t="shared" si="22"/>
        <v>4</v>
      </c>
      <c r="N58" s="397">
        <f t="shared" si="22"/>
        <v>3</v>
      </c>
      <c r="O58" s="397">
        <f t="shared" si="22"/>
        <v>3</v>
      </c>
      <c r="P58" s="397">
        <f t="shared" si="22"/>
        <v>2</v>
      </c>
      <c r="Q58" s="397">
        <f t="shared" si="22"/>
        <v>2</v>
      </c>
      <c r="R58" s="397">
        <f t="shared" si="22"/>
        <v>2</v>
      </c>
      <c r="T58" s="14"/>
    </row>
    <row r="59" spans="1:20">
      <c r="A59" s="447" t="s">
        <v>273</v>
      </c>
      <c r="B59" s="494">
        <v>1</v>
      </c>
      <c r="C59" s="81"/>
      <c r="D59" s="442"/>
      <c r="E59" s="443"/>
      <c r="F59" s="397">
        <f>ROUNDUP($Z$19/F$54,0)*$B59</f>
        <v>11</v>
      </c>
      <c r="G59" s="397">
        <f>ROUNDUP($Z$19/G$54,0)*$B59</f>
        <v>8</v>
      </c>
      <c r="H59" s="397">
        <f>ROUNDUP($Z$20/H$54,0)*$B59</f>
        <v>9</v>
      </c>
      <c r="I59" s="397">
        <f>ROUNDUP($Z$20/I$54,0)*$B59</f>
        <v>7</v>
      </c>
      <c r="J59" s="397">
        <f>ROUNDUP($Z$20/J$54,0)*$B59</f>
        <v>6</v>
      </c>
      <c r="K59" s="397">
        <f t="shared" ref="K59:R59" si="23">ROUNDUP($Z$21/K$54,0)*$B59</f>
        <v>6</v>
      </c>
      <c r="L59" s="397">
        <f t="shared" si="23"/>
        <v>6</v>
      </c>
      <c r="M59" s="397">
        <f t="shared" si="23"/>
        <v>5</v>
      </c>
      <c r="N59" s="397">
        <f t="shared" si="23"/>
        <v>4</v>
      </c>
      <c r="O59" s="397">
        <f t="shared" si="23"/>
        <v>3</v>
      </c>
      <c r="P59" s="397">
        <f t="shared" si="23"/>
        <v>3</v>
      </c>
      <c r="Q59" s="397">
        <f t="shared" si="23"/>
        <v>3</v>
      </c>
      <c r="R59" s="397">
        <f t="shared" si="23"/>
        <v>2</v>
      </c>
      <c r="T59" s="14"/>
    </row>
    <row r="60" spans="1:20">
      <c r="A60" s="447" t="s">
        <v>274</v>
      </c>
      <c r="B60" s="494">
        <v>2</v>
      </c>
      <c r="C60" s="441"/>
      <c r="D60" s="445">
        <f>Z4</f>
        <v>42</v>
      </c>
      <c r="E60" s="446">
        <f>Z5</f>
        <v>63</v>
      </c>
      <c r="F60" s="414">
        <f t="shared" ref="F60:K60" si="24">ROUNDUP(($B60*$D$60)/F54,0)</f>
        <v>21</v>
      </c>
      <c r="G60" s="414">
        <f t="shared" si="24"/>
        <v>14</v>
      </c>
      <c r="H60" s="414">
        <f t="shared" si="24"/>
        <v>11</v>
      </c>
      <c r="I60" s="414">
        <f t="shared" si="24"/>
        <v>9</v>
      </c>
      <c r="J60" s="414">
        <f t="shared" si="24"/>
        <v>7</v>
      </c>
      <c r="K60" s="414">
        <f t="shared" si="24"/>
        <v>6</v>
      </c>
      <c r="L60" s="415">
        <f t="shared" ref="L60:R60" si="25">ROUNDUP(($B60*$E$60)/L54,0)</f>
        <v>9</v>
      </c>
      <c r="M60" s="415">
        <f t="shared" si="25"/>
        <v>7</v>
      </c>
      <c r="N60" s="415">
        <f t="shared" si="25"/>
        <v>6</v>
      </c>
      <c r="O60" s="415">
        <f t="shared" si="25"/>
        <v>5</v>
      </c>
      <c r="P60" s="415">
        <f t="shared" si="25"/>
        <v>4</v>
      </c>
      <c r="Q60" s="415">
        <f t="shared" si="25"/>
        <v>4</v>
      </c>
      <c r="R60" s="415">
        <f t="shared" si="25"/>
        <v>3</v>
      </c>
      <c r="T60" s="14"/>
    </row>
    <row r="61" spans="1:20" ht="6" customHeight="1" thickBot="1">
      <c r="A61" s="447"/>
      <c r="B61" s="80"/>
      <c r="C61" s="119"/>
      <c r="D61" s="52"/>
      <c r="E61" s="444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T61" s="14"/>
    </row>
    <row r="62" spans="1:20" ht="14.45" customHeight="1" thickBot="1">
      <c r="A62" s="447" t="s">
        <v>32</v>
      </c>
      <c r="B62" s="80"/>
      <c r="C62" s="119"/>
      <c r="D62" s="107">
        <f>D15+D30+D47+D52</f>
        <v>959</v>
      </c>
      <c r="E62" s="85"/>
      <c r="F62" s="148">
        <f t="shared" ref="F62:R62" si="26">$D62</f>
        <v>959</v>
      </c>
      <c r="G62" s="148">
        <f t="shared" si="26"/>
        <v>959</v>
      </c>
      <c r="H62" s="148">
        <f t="shared" si="26"/>
        <v>959</v>
      </c>
      <c r="I62" s="148">
        <f t="shared" si="26"/>
        <v>959</v>
      </c>
      <c r="J62" s="148">
        <f t="shared" si="26"/>
        <v>959</v>
      </c>
      <c r="K62" s="148">
        <f t="shared" si="26"/>
        <v>959</v>
      </c>
      <c r="L62" s="148">
        <f t="shared" si="26"/>
        <v>959</v>
      </c>
      <c r="M62" s="148">
        <f t="shared" si="26"/>
        <v>959</v>
      </c>
      <c r="N62" s="148">
        <f t="shared" si="26"/>
        <v>959</v>
      </c>
      <c r="O62" s="148">
        <f t="shared" si="26"/>
        <v>959</v>
      </c>
      <c r="P62" s="148">
        <f t="shared" si="26"/>
        <v>959</v>
      </c>
      <c r="Q62" s="148">
        <f t="shared" si="26"/>
        <v>959</v>
      </c>
      <c r="R62" s="148">
        <f t="shared" si="26"/>
        <v>959</v>
      </c>
    </row>
    <row r="63" spans="1:20" ht="14.45" customHeight="1" thickBot="1">
      <c r="A63" s="447" t="s">
        <v>33</v>
      </c>
      <c r="B63" s="83"/>
      <c r="C63" s="79"/>
      <c r="D63" s="79"/>
      <c r="E63" s="84">
        <f>E$30+E$47+E52</f>
        <v>3408</v>
      </c>
      <c r="F63" s="149">
        <f t="shared" ref="F63:R64" si="27">$E63/F$54</f>
        <v>852</v>
      </c>
      <c r="G63" s="149">
        <f t="shared" si="27"/>
        <v>568</v>
      </c>
      <c r="H63" s="149">
        <f t="shared" si="27"/>
        <v>426</v>
      </c>
      <c r="I63" s="149">
        <f t="shared" si="27"/>
        <v>340.8</v>
      </c>
      <c r="J63" s="149">
        <f t="shared" si="27"/>
        <v>284</v>
      </c>
      <c r="K63" s="149">
        <f t="shared" si="27"/>
        <v>243.42857142857142</v>
      </c>
      <c r="L63" s="149">
        <f t="shared" si="27"/>
        <v>227.2</v>
      </c>
      <c r="M63" s="149">
        <f t="shared" si="27"/>
        <v>170.4</v>
      </c>
      <c r="N63" s="149">
        <f t="shared" si="27"/>
        <v>136.32</v>
      </c>
      <c r="O63" s="149">
        <f t="shared" si="27"/>
        <v>113.6</v>
      </c>
      <c r="P63" s="149">
        <f t="shared" si="27"/>
        <v>97.371428571428567</v>
      </c>
      <c r="Q63" s="149">
        <f t="shared" si="27"/>
        <v>85.2</v>
      </c>
      <c r="R63" s="149">
        <f t="shared" si="27"/>
        <v>75.733333333333334</v>
      </c>
    </row>
    <row r="64" spans="1:20">
      <c r="A64" s="447" t="s">
        <v>223</v>
      </c>
      <c r="B64" s="494">
        <v>1</v>
      </c>
      <c r="C64" s="280">
        <f>D12+D11</f>
        <v>734</v>
      </c>
      <c r="D64" s="147"/>
      <c r="E64" s="322">
        <f>-B64*C64</f>
        <v>-734</v>
      </c>
      <c r="F64" s="323"/>
      <c r="G64" s="323"/>
      <c r="H64" s="323"/>
      <c r="I64" s="149"/>
      <c r="J64" s="149"/>
      <c r="K64" s="149"/>
      <c r="L64" s="149"/>
      <c r="M64" s="323">
        <f>$E64/M$54</f>
        <v>-36.700000000000003</v>
      </c>
      <c r="N64" s="323">
        <f t="shared" si="27"/>
        <v>-29.36</v>
      </c>
      <c r="O64" s="323">
        <f t="shared" si="27"/>
        <v>-24.466666666666665</v>
      </c>
      <c r="P64" s="323">
        <f t="shared" si="27"/>
        <v>-20.971428571428572</v>
      </c>
      <c r="Q64" s="323">
        <f t="shared" si="27"/>
        <v>-18.350000000000001</v>
      </c>
      <c r="R64" s="323">
        <f t="shared" si="27"/>
        <v>-16.31111111111111</v>
      </c>
      <c r="T64" s="14"/>
    </row>
    <row r="65" spans="1:20">
      <c r="A65" s="447" t="s">
        <v>294</v>
      </c>
      <c r="B65" s="623">
        <v>11</v>
      </c>
      <c r="C65" s="624">
        <v>1</v>
      </c>
      <c r="D65" s="625">
        <f>ROUNDUP(B65*C65,0)</f>
        <v>11</v>
      </c>
      <c r="E65" s="443"/>
      <c r="F65" s="397"/>
      <c r="G65" s="397"/>
      <c r="H65" s="397"/>
      <c r="I65" s="149"/>
      <c r="J65" s="149"/>
      <c r="K65" s="149"/>
      <c r="L65" s="149"/>
      <c r="M65" s="397"/>
      <c r="N65" s="148">
        <f t="shared" ref="N65:R65" si="28">$D65</f>
        <v>11</v>
      </c>
      <c r="O65" s="148">
        <f t="shared" si="28"/>
        <v>11</v>
      </c>
      <c r="P65" s="148">
        <f t="shared" si="28"/>
        <v>11</v>
      </c>
      <c r="Q65" s="148">
        <f t="shared" si="28"/>
        <v>11</v>
      </c>
      <c r="R65" s="148">
        <f t="shared" si="28"/>
        <v>11</v>
      </c>
      <c r="T65" s="14"/>
    </row>
    <row r="66" spans="1:20">
      <c r="A66" s="288" t="s">
        <v>210</v>
      </c>
      <c r="B66" s="80"/>
      <c r="C66" s="81"/>
      <c r="D66" s="185"/>
      <c r="E66" s="289"/>
      <c r="F66" s="290">
        <f>SUM(F55:F65)</f>
        <v>2407.1750000000002</v>
      </c>
      <c r="G66" s="290">
        <f t="shared" ref="G66:R66" si="29">SUM(G55:G65)</f>
        <v>1994.4333333333334</v>
      </c>
      <c r="H66" s="290">
        <f t="shared" si="29"/>
        <v>1759.8875</v>
      </c>
      <c r="I66" s="290">
        <f t="shared" si="29"/>
        <v>1632.0800000000002</v>
      </c>
      <c r="J66" s="290">
        <f t="shared" si="29"/>
        <v>1519.5666666666666</v>
      </c>
      <c r="K66" s="290">
        <f t="shared" si="29"/>
        <v>1441.0571428571427</v>
      </c>
      <c r="L66" s="290">
        <f t="shared" si="29"/>
        <v>1449.1333333333334</v>
      </c>
      <c r="M66" s="290">
        <f t="shared" si="29"/>
        <v>1290.9000000000001</v>
      </c>
      <c r="N66" s="290">
        <f t="shared" si="29"/>
        <v>1235.72</v>
      </c>
      <c r="O66" s="290">
        <f t="shared" si="29"/>
        <v>1197.6133333333332</v>
      </c>
      <c r="P66" s="290">
        <f t="shared" si="29"/>
        <v>1164.6685714285716</v>
      </c>
      <c r="Q66" s="290">
        <f t="shared" si="29"/>
        <v>1141.4600000000003</v>
      </c>
      <c r="R66" s="290">
        <f t="shared" si="29"/>
        <v>1121.4088888888889</v>
      </c>
    </row>
    <row r="67" spans="1:20" ht="5.0999999999999996" customHeight="1">
      <c r="A67" s="299"/>
      <c r="B67" s="24"/>
      <c r="C67" s="24"/>
      <c r="D67" s="300"/>
      <c r="E67" s="1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</row>
    <row r="68" spans="1:20">
      <c r="A68" s="447" t="s">
        <v>275</v>
      </c>
      <c r="B68" s="405"/>
      <c r="C68" s="81"/>
      <c r="D68" s="185">
        <v>100</v>
      </c>
      <c r="E68" s="289"/>
      <c r="F68" s="291">
        <f t="shared" ref="F68:R70" si="30">$D68</f>
        <v>100</v>
      </c>
      <c r="G68" s="291">
        <f t="shared" si="30"/>
        <v>100</v>
      </c>
      <c r="H68" s="291">
        <f t="shared" si="30"/>
        <v>100</v>
      </c>
      <c r="I68" s="291">
        <f t="shared" si="30"/>
        <v>100</v>
      </c>
      <c r="J68" s="291">
        <f t="shared" si="30"/>
        <v>100</v>
      </c>
      <c r="K68" s="291">
        <f t="shared" si="30"/>
        <v>100</v>
      </c>
      <c r="L68" s="291">
        <f t="shared" si="30"/>
        <v>100</v>
      </c>
      <c r="M68" s="291">
        <f t="shared" si="30"/>
        <v>100</v>
      </c>
      <c r="N68" s="291">
        <f t="shared" si="30"/>
        <v>100</v>
      </c>
      <c r="O68" s="291">
        <f t="shared" si="30"/>
        <v>100</v>
      </c>
      <c r="P68" s="291">
        <f t="shared" si="30"/>
        <v>100</v>
      </c>
      <c r="Q68" s="291">
        <f t="shared" si="30"/>
        <v>100</v>
      </c>
      <c r="R68" s="291">
        <f t="shared" si="30"/>
        <v>100</v>
      </c>
    </row>
    <row r="69" spans="1:20">
      <c r="A69" s="447" t="s">
        <v>357</v>
      </c>
      <c r="B69" s="405"/>
      <c r="C69" s="81"/>
      <c r="D69" s="185">
        <v>10</v>
      </c>
      <c r="E69" s="289"/>
      <c r="F69" s="291">
        <f t="shared" si="30"/>
        <v>10</v>
      </c>
      <c r="G69" s="291">
        <f t="shared" si="30"/>
        <v>10</v>
      </c>
      <c r="H69" s="291">
        <f t="shared" si="30"/>
        <v>10</v>
      </c>
      <c r="I69" s="291">
        <f t="shared" si="30"/>
        <v>10</v>
      </c>
      <c r="J69" s="291">
        <f t="shared" si="30"/>
        <v>10</v>
      </c>
      <c r="K69" s="291">
        <f t="shared" si="30"/>
        <v>10</v>
      </c>
      <c r="L69" s="291">
        <f t="shared" si="30"/>
        <v>10</v>
      </c>
      <c r="M69" s="291">
        <f t="shared" si="30"/>
        <v>10</v>
      </c>
      <c r="N69" s="291">
        <f t="shared" si="30"/>
        <v>10</v>
      </c>
      <c r="O69" s="291">
        <f t="shared" si="30"/>
        <v>10</v>
      </c>
      <c r="P69" s="291">
        <f t="shared" si="30"/>
        <v>10</v>
      </c>
      <c r="Q69" s="291">
        <f t="shared" si="30"/>
        <v>10</v>
      </c>
      <c r="R69" s="291">
        <f t="shared" si="30"/>
        <v>10</v>
      </c>
    </row>
    <row r="70" spans="1:20">
      <c r="A70" s="447" t="s">
        <v>363</v>
      </c>
      <c r="B70" s="405"/>
      <c r="C70" s="81"/>
      <c r="D70" s="185">
        <v>50</v>
      </c>
      <c r="E70" s="289"/>
      <c r="F70" s="291">
        <f t="shared" si="30"/>
        <v>50</v>
      </c>
      <c r="G70" s="291">
        <f t="shared" si="30"/>
        <v>50</v>
      </c>
      <c r="H70" s="291">
        <f t="shared" si="30"/>
        <v>50</v>
      </c>
      <c r="I70" s="291">
        <f t="shared" si="30"/>
        <v>50</v>
      </c>
      <c r="J70" s="291">
        <f t="shared" si="30"/>
        <v>50</v>
      </c>
      <c r="K70" s="291">
        <f t="shared" si="30"/>
        <v>50</v>
      </c>
      <c r="L70" s="291">
        <f t="shared" si="30"/>
        <v>50</v>
      </c>
      <c r="M70" s="291">
        <f t="shared" si="30"/>
        <v>50</v>
      </c>
      <c r="N70" s="291">
        <f t="shared" si="30"/>
        <v>50</v>
      </c>
      <c r="O70" s="291">
        <f t="shared" si="30"/>
        <v>50</v>
      </c>
      <c r="P70" s="291">
        <f t="shared" si="30"/>
        <v>50</v>
      </c>
      <c r="Q70" s="291">
        <f t="shared" si="30"/>
        <v>50</v>
      </c>
      <c r="R70" s="291">
        <f t="shared" si="30"/>
        <v>50</v>
      </c>
    </row>
    <row r="71" spans="1:20">
      <c r="A71" s="447" t="s">
        <v>334</v>
      </c>
      <c r="B71" s="494">
        <v>0</v>
      </c>
      <c r="C71" s="495">
        <f>D73</f>
        <v>1130</v>
      </c>
      <c r="D71" s="185"/>
      <c r="E71" s="495">
        <f>B71*C71</f>
        <v>0</v>
      </c>
      <c r="F71" s="149">
        <f t="shared" ref="F71:R71" si="31">$E71/F$54</f>
        <v>0</v>
      </c>
      <c r="G71" s="149">
        <f t="shared" si="31"/>
        <v>0</v>
      </c>
      <c r="H71" s="149">
        <f t="shared" si="31"/>
        <v>0</v>
      </c>
      <c r="I71" s="149">
        <f t="shared" si="31"/>
        <v>0</v>
      </c>
      <c r="J71" s="149">
        <f t="shared" si="31"/>
        <v>0</v>
      </c>
      <c r="K71" s="149">
        <f t="shared" si="31"/>
        <v>0</v>
      </c>
      <c r="L71" s="149">
        <f t="shared" si="31"/>
        <v>0</v>
      </c>
      <c r="M71" s="149">
        <f t="shared" si="31"/>
        <v>0</v>
      </c>
      <c r="N71" s="149">
        <f t="shared" si="31"/>
        <v>0</v>
      </c>
      <c r="O71" s="149">
        <f t="shared" si="31"/>
        <v>0</v>
      </c>
      <c r="P71" s="149">
        <f t="shared" si="31"/>
        <v>0</v>
      </c>
      <c r="Q71" s="149">
        <f t="shared" si="31"/>
        <v>0</v>
      </c>
      <c r="R71" s="149">
        <f t="shared" si="31"/>
        <v>0</v>
      </c>
    </row>
    <row r="72" spans="1:20" ht="8.1" customHeight="1">
      <c r="A72" s="16"/>
      <c r="B72" s="83"/>
      <c r="C72" s="79"/>
      <c r="D72" s="292"/>
      <c r="E72" s="289"/>
      <c r="F72" s="86"/>
      <c r="G72" s="86"/>
      <c r="H72" s="86"/>
      <c r="I72" s="86"/>
      <c r="J72" s="86"/>
      <c r="K72" s="82"/>
      <c r="L72" s="82"/>
      <c r="M72" s="82"/>
      <c r="N72" s="82"/>
      <c r="O72" s="82"/>
      <c r="P72" s="82"/>
      <c r="Q72" s="82"/>
      <c r="R72" s="82"/>
    </row>
    <row r="73" spans="1:20" ht="15">
      <c r="A73" s="87" t="s">
        <v>34</v>
      </c>
      <c r="B73" s="293"/>
      <c r="C73" s="294"/>
      <c r="D73" s="295">
        <f>SUM(D62:D72)</f>
        <v>1130</v>
      </c>
      <c r="E73" s="295"/>
      <c r="F73" s="296">
        <f t="shared" ref="F73:R73" si="32">SUM(F66:F72)</f>
        <v>2567.1750000000002</v>
      </c>
      <c r="G73" s="296">
        <f t="shared" si="32"/>
        <v>2154.4333333333334</v>
      </c>
      <c r="H73" s="296">
        <f t="shared" si="32"/>
        <v>1919.8875</v>
      </c>
      <c r="I73" s="296">
        <f t="shared" si="32"/>
        <v>1792.0800000000002</v>
      </c>
      <c r="J73" s="296">
        <f t="shared" si="32"/>
        <v>1679.5666666666666</v>
      </c>
      <c r="K73" s="296">
        <f t="shared" si="32"/>
        <v>1601.0571428571427</v>
      </c>
      <c r="L73" s="296">
        <f t="shared" si="32"/>
        <v>1609.1333333333334</v>
      </c>
      <c r="M73" s="296">
        <f t="shared" si="32"/>
        <v>1450.9</v>
      </c>
      <c r="N73" s="296">
        <f t="shared" si="32"/>
        <v>1395.72</v>
      </c>
      <c r="O73" s="296">
        <f t="shared" si="32"/>
        <v>1357.6133333333332</v>
      </c>
      <c r="P73" s="296">
        <f t="shared" si="32"/>
        <v>1324.6685714285716</v>
      </c>
      <c r="Q73" s="296">
        <f t="shared" si="32"/>
        <v>1301.4600000000003</v>
      </c>
      <c r="R73" s="296">
        <f t="shared" si="32"/>
        <v>1281.4088888888889</v>
      </c>
    </row>
    <row r="74" spans="1:20" ht="4.1500000000000004" customHeight="1">
      <c r="A74" s="88"/>
      <c r="B74" s="297"/>
      <c r="C74" s="79"/>
      <c r="D74" s="52"/>
      <c r="E74" s="52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</row>
    <row r="75" spans="1:20">
      <c r="A75" s="88"/>
      <c r="B75" s="89"/>
      <c r="C75" s="79"/>
      <c r="D75" s="90"/>
      <c r="E75" s="91" t="s">
        <v>35</v>
      </c>
      <c r="F75" s="324">
        <f t="shared" ref="F75:R75" si="33">F68/F66</f>
        <v>4.1542471984795451E-2</v>
      </c>
      <c r="G75" s="324">
        <f t="shared" si="33"/>
        <v>5.0139555095014457E-2</v>
      </c>
      <c r="H75" s="324">
        <f t="shared" si="33"/>
        <v>5.6821813894354041E-2</v>
      </c>
      <c r="I75" s="324">
        <f t="shared" si="33"/>
        <v>6.1271506298710844E-2</v>
      </c>
      <c r="J75" s="324">
        <f t="shared" si="33"/>
        <v>6.5808234803781784E-2</v>
      </c>
      <c r="K75" s="324">
        <f t="shared" si="33"/>
        <v>6.9393500802981942E-2</v>
      </c>
      <c r="L75" s="324">
        <f t="shared" si="33"/>
        <v>6.9006762662740945E-2</v>
      </c>
      <c r="M75" s="324">
        <f t="shared" si="33"/>
        <v>7.7465334262917337E-2</v>
      </c>
      <c r="N75" s="324">
        <f t="shared" si="33"/>
        <v>8.0924481274075033E-2</v>
      </c>
      <c r="O75" s="324">
        <f t="shared" si="33"/>
        <v>8.3499404370915492E-2</v>
      </c>
      <c r="P75" s="324">
        <f t="shared" si="33"/>
        <v>8.5861336394903259E-2</v>
      </c>
      <c r="Q75" s="324">
        <f t="shared" si="33"/>
        <v>8.7607099679357994E-2</v>
      </c>
      <c r="R75" s="324">
        <f t="shared" si="33"/>
        <v>8.9173539634665913E-2</v>
      </c>
    </row>
    <row r="76" spans="1:20" ht="9" customHeight="1">
      <c r="A76" s="299"/>
      <c r="B76" s="24"/>
      <c r="C76" s="24"/>
      <c r="D76" s="300"/>
      <c r="E76" s="1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</row>
    <row r="77" spans="1:20" ht="9" customHeight="1">
      <c r="A77" s="92"/>
      <c r="G77" s="7"/>
      <c r="H77" s="93"/>
      <c r="I77" s="94"/>
      <c r="J77" s="95"/>
      <c r="L77" s="7"/>
      <c r="M77" s="93"/>
      <c r="N77" s="94"/>
      <c r="O77" s="95"/>
    </row>
    <row r="78" spans="1:20" ht="5.0999999999999996" customHeight="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20" ht="14.25" customHeight="1">
      <c r="E79" s="460" t="s">
        <v>219</v>
      </c>
      <c r="F79" s="454" t="s">
        <v>218</v>
      </c>
      <c r="H79" s="278" t="s">
        <v>108</v>
      </c>
      <c r="I79" s="268" t="s">
        <v>119</v>
      </c>
      <c r="J79" s="31"/>
      <c r="K79" s="77"/>
      <c r="L79" s="268" t="s">
        <v>100</v>
      </c>
      <c r="M79" s="31"/>
      <c r="N79" s="266"/>
      <c r="O79" s="268" t="s">
        <v>99</v>
      </c>
    </row>
    <row r="80" spans="1:20" ht="15">
      <c r="A80" s="23"/>
      <c r="B80" s="97" t="s">
        <v>36</v>
      </c>
      <c r="C80" s="98"/>
      <c r="D80" s="301"/>
      <c r="E80" s="461" t="s">
        <v>37</v>
      </c>
      <c r="F80" s="459">
        <f>F54</f>
        <v>4</v>
      </c>
      <c r="G80" s="320" t="s">
        <v>111</v>
      </c>
      <c r="H80" s="321" t="s">
        <v>112</v>
      </c>
      <c r="I80" s="316" t="s">
        <v>113</v>
      </c>
      <c r="J80" s="316" t="s">
        <v>47</v>
      </c>
      <c r="K80" s="317" t="s">
        <v>48</v>
      </c>
      <c r="L80" s="318" t="s">
        <v>52</v>
      </c>
      <c r="M80" s="318" t="s">
        <v>38</v>
      </c>
      <c r="N80" s="319" t="s">
        <v>39</v>
      </c>
      <c r="O80" s="313" t="s">
        <v>40</v>
      </c>
      <c r="P80" s="314" t="s">
        <v>41</v>
      </c>
      <c r="Q80" s="314" t="s">
        <v>42</v>
      </c>
      <c r="R80" s="315" t="s">
        <v>43</v>
      </c>
      <c r="S80" s="662" t="s">
        <v>118</v>
      </c>
    </row>
    <row r="81" spans="1:19" ht="15" customHeight="1">
      <c r="A81" s="23"/>
      <c r="B81" s="456"/>
      <c r="C81" s="457"/>
      <c r="D81" s="303"/>
      <c r="E81" s="460" t="s">
        <v>44</v>
      </c>
      <c r="F81" s="100">
        <f>ROUNDUP(F73,0)</f>
        <v>2568</v>
      </c>
      <c r="G81" s="100">
        <f t="shared" ref="G81:R81" si="34">ROUNDUP(G73,0)</f>
        <v>2155</v>
      </c>
      <c r="H81" s="100">
        <f t="shared" si="34"/>
        <v>1920</v>
      </c>
      <c r="I81" s="100">
        <f t="shared" si="34"/>
        <v>1793</v>
      </c>
      <c r="J81" s="100">
        <f t="shared" si="34"/>
        <v>1680</v>
      </c>
      <c r="K81" s="100">
        <f t="shared" si="34"/>
        <v>1602</v>
      </c>
      <c r="L81" s="100">
        <f t="shared" si="34"/>
        <v>1610</v>
      </c>
      <c r="M81" s="100">
        <f t="shared" si="34"/>
        <v>1451</v>
      </c>
      <c r="N81" s="100">
        <f t="shared" si="34"/>
        <v>1396</v>
      </c>
      <c r="O81" s="100">
        <f t="shared" si="34"/>
        <v>1358</v>
      </c>
      <c r="P81" s="100">
        <f t="shared" si="34"/>
        <v>1325</v>
      </c>
      <c r="Q81" s="100">
        <f t="shared" si="34"/>
        <v>1302</v>
      </c>
      <c r="R81" s="100">
        <f t="shared" si="34"/>
        <v>1282</v>
      </c>
      <c r="S81" s="100">
        <f>N12</f>
        <v>640</v>
      </c>
    </row>
    <row r="82" spans="1:19">
      <c r="A82" s="464" t="s">
        <v>220</v>
      </c>
      <c r="B82" s="462" t="s">
        <v>118</v>
      </c>
      <c r="C82" s="463">
        <f>N12</f>
        <v>640</v>
      </c>
      <c r="D82" s="455"/>
      <c r="E82" s="460" t="s">
        <v>117</v>
      </c>
      <c r="F82" s="325">
        <f t="shared" ref="F82:S82" si="35">F81/$B$10</f>
        <v>366.85714285714283</v>
      </c>
      <c r="G82" s="325">
        <f t="shared" si="35"/>
        <v>307.85714285714283</v>
      </c>
      <c r="H82" s="325">
        <f t="shared" si="35"/>
        <v>274.28571428571428</v>
      </c>
      <c r="I82" s="325">
        <f t="shared" si="35"/>
        <v>256.14285714285717</v>
      </c>
      <c r="J82" s="325">
        <f t="shared" si="35"/>
        <v>240</v>
      </c>
      <c r="K82" s="325">
        <f t="shared" si="35"/>
        <v>228.85714285714286</v>
      </c>
      <c r="L82" s="325">
        <f t="shared" si="35"/>
        <v>230</v>
      </c>
      <c r="M82" s="325">
        <f t="shared" si="35"/>
        <v>207.28571428571428</v>
      </c>
      <c r="N82" s="325">
        <f t="shared" si="35"/>
        <v>199.42857142857142</v>
      </c>
      <c r="O82" s="325">
        <f t="shared" si="35"/>
        <v>194</v>
      </c>
      <c r="P82" s="325">
        <f t="shared" si="35"/>
        <v>189.28571428571428</v>
      </c>
      <c r="Q82" s="325">
        <f t="shared" si="35"/>
        <v>186</v>
      </c>
      <c r="R82" s="325">
        <f t="shared" si="35"/>
        <v>183.14285714285714</v>
      </c>
      <c r="S82" s="325">
        <f t="shared" si="35"/>
        <v>91.428571428571431</v>
      </c>
    </row>
    <row r="83" spans="1:19" ht="7.5" customHeight="1">
      <c r="A83" s="23"/>
      <c r="B83" s="393"/>
      <c r="C83" s="458"/>
      <c r="D83" s="326"/>
      <c r="E83" s="304"/>
      <c r="F83" s="305"/>
      <c r="G83" s="306"/>
      <c r="H83" s="306"/>
      <c r="I83" s="306"/>
      <c r="J83" s="306"/>
      <c r="K83" s="306"/>
      <c r="L83" s="306"/>
      <c r="M83" s="306"/>
      <c r="N83" s="306"/>
      <c r="O83" s="306"/>
      <c r="P83" s="306"/>
      <c r="Q83" s="15"/>
      <c r="R83" s="15"/>
    </row>
    <row r="84" spans="1:19">
      <c r="A84" s="413" t="s">
        <v>198</v>
      </c>
      <c r="B84" s="101"/>
      <c r="C84" s="98"/>
      <c r="D84" s="307"/>
      <c r="E84" s="102" t="s">
        <v>199</v>
      </c>
      <c r="F84" s="308"/>
      <c r="G84" s="308"/>
      <c r="H84" s="309"/>
      <c r="I84" s="309">
        <v>2449</v>
      </c>
      <c r="J84" s="309">
        <v>2267</v>
      </c>
      <c r="K84" s="309">
        <v>2139</v>
      </c>
      <c r="L84" s="309">
        <v>2142</v>
      </c>
      <c r="M84" s="309">
        <v>1891</v>
      </c>
      <c r="N84" s="309">
        <v>1796</v>
      </c>
      <c r="O84" s="309">
        <v>1734</v>
      </c>
      <c r="P84" s="309">
        <v>1682</v>
      </c>
      <c r="Q84" s="309">
        <v>1644</v>
      </c>
      <c r="R84" s="309">
        <v>1719</v>
      </c>
      <c r="S84" s="309">
        <v>892</v>
      </c>
    </row>
    <row r="85" spans="1:19" ht="15" customHeight="1">
      <c r="A85" s="23"/>
      <c r="B85" s="302"/>
      <c r="C85" s="99"/>
      <c r="D85" s="310"/>
      <c r="E85" s="102" t="s">
        <v>114</v>
      </c>
      <c r="F85" s="311"/>
      <c r="G85" s="311"/>
      <c r="H85" s="655"/>
      <c r="I85" s="655">
        <f t="shared" ref="I85:R85" si="36">I81-I84</f>
        <v>-656</v>
      </c>
      <c r="J85" s="655">
        <f t="shared" si="36"/>
        <v>-587</v>
      </c>
      <c r="K85" s="655">
        <f t="shared" si="36"/>
        <v>-537</v>
      </c>
      <c r="L85" s="655">
        <f t="shared" si="36"/>
        <v>-532</v>
      </c>
      <c r="M85" s="655">
        <f t="shared" si="36"/>
        <v>-440</v>
      </c>
      <c r="N85" s="655">
        <f t="shared" si="36"/>
        <v>-400</v>
      </c>
      <c r="O85" s="655">
        <f t="shared" si="36"/>
        <v>-376</v>
      </c>
      <c r="P85" s="655">
        <f t="shared" si="36"/>
        <v>-357</v>
      </c>
      <c r="Q85" s="655">
        <f t="shared" si="36"/>
        <v>-342</v>
      </c>
      <c r="R85" s="655">
        <f t="shared" si="36"/>
        <v>-437</v>
      </c>
    </row>
    <row r="86" spans="1:19" ht="15" customHeight="1">
      <c r="A86" s="23"/>
      <c r="B86" s="302"/>
      <c r="C86" s="99"/>
      <c r="D86" s="310"/>
      <c r="E86" s="102" t="s">
        <v>115</v>
      </c>
      <c r="F86" s="312"/>
      <c r="G86" s="312"/>
      <c r="H86" s="312"/>
      <c r="I86" s="312">
        <f>I85/I84</f>
        <v>-0.26786443446304614</v>
      </c>
      <c r="J86" s="312">
        <f t="shared" ref="J86:R86" si="37">J85/J84</f>
        <v>-0.25893250992501105</v>
      </c>
      <c r="K86" s="312">
        <f t="shared" si="37"/>
        <v>-0.25105189340813466</v>
      </c>
      <c r="L86" s="312">
        <f t="shared" si="37"/>
        <v>-0.24836601307189543</v>
      </c>
      <c r="M86" s="312">
        <f t="shared" si="37"/>
        <v>-0.23268112109994712</v>
      </c>
      <c r="N86" s="312">
        <f t="shared" si="37"/>
        <v>-0.22271714922048999</v>
      </c>
      <c r="O86" s="312">
        <f t="shared" si="37"/>
        <v>-0.21683967704728951</v>
      </c>
      <c r="P86" s="312">
        <f t="shared" si="37"/>
        <v>-0.2122473246135553</v>
      </c>
      <c r="Q86" s="312">
        <f t="shared" si="37"/>
        <v>-0.20802919708029197</v>
      </c>
      <c r="R86" s="312">
        <f t="shared" si="37"/>
        <v>-0.25421756835369402</v>
      </c>
    </row>
    <row r="87" spans="1:19" ht="6" customHeight="1"/>
    <row r="88" spans="1:19" ht="5.0999999999999996" customHeight="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</row>
    <row r="89" spans="1:19">
      <c r="F89" s="408" t="s">
        <v>111</v>
      </c>
      <c r="G89" s="409" t="s">
        <v>112</v>
      </c>
      <c r="H89" s="269" t="s">
        <v>113</v>
      </c>
      <c r="I89" s="269" t="s">
        <v>47</v>
      </c>
      <c r="J89" s="156" t="s">
        <v>48</v>
      </c>
      <c r="K89" s="161" t="s">
        <v>52</v>
      </c>
      <c r="L89" s="161" t="s">
        <v>38</v>
      </c>
      <c r="M89" s="162" t="s">
        <v>39</v>
      </c>
      <c r="N89" s="410" t="s">
        <v>40</v>
      </c>
      <c r="O89" s="411" t="s">
        <v>41</v>
      </c>
      <c r="P89" s="411" t="s">
        <v>42</v>
      </c>
      <c r="Q89" s="412" t="s">
        <v>43</v>
      </c>
    </row>
    <row r="90" spans="1:19">
      <c r="A90" s="87" t="s">
        <v>193</v>
      </c>
      <c r="B90" s="401"/>
      <c r="C90" s="402"/>
      <c r="D90" s="404"/>
      <c r="E90" s="404">
        <v>1999</v>
      </c>
      <c r="F90" s="403">
        <f>$E90</f>
        <v>1999</v>
      </c>
      <c r="G90" s="403">
        <f t="shared" ref="G90:Q91" si="38">$E90</f>
        <v>1999</v>
      </c>
      <c r="H90" s="403">
        <f t="shared" si="38"/>
        <v>1999</v>
      </c>
      <c r="I90" s="403">
        <f t="shared" si="38"/>
        <v>1999</v>
      </c>
      <c r="J90" s="403">
        <f t="shared" si="38"/>
        <v>1999</v>
      </c>
      <c r="K90" s="403">
        <f t="shared" si="38"/>
        <v>1999</v>
      </c>
      <c r="L90" s="403">
        <f t="shared" si="38"/>
        <v>1999</v>
      </c>
      <c r="M90" s="403">
        <f t="shared" si="38"/>
        <v>1999</v>
      </c>
      <c r="N90" s="403">
        <f t="shared" si="38"/>
        <v>1999</v>
      </c>
      <c r="O90" s="403">
        <f t="shared" si="38"/>
        <v>1999</v>
      </c>
      <c r="P90" s="403">
        <f t="shared" si="38"/>
        <v>1999</v>
      </c>
      <c r="Q90" s="403">
        <f t="shared" si="38"/>
        <v>1999</v>
      </c>
    </row>
    <row r="91" spans="1:19">
      <c r="D91" s="405">
        <v>0.25</v>
      </c>
      <c r="E91" s="406">
        <f>E90*D91</f>
        <v>499.75</v>
      </c>
      <c r="F91" s="403">
        <f>$E91</f>
        <v>499.75</v>
      </c>
      <c r="G91" s="403">
        <f t="shared" si="38"/>
        <v>499.75</v>
      </c>
      <c r="H91" s="403">
        <f t="shared" si="38"/>
        <v>499.75</v>
      </c>
      <c r="I91" s="403">
        <f t="shared" si="38"/>
        <v>499.75</v>
      </c>
      <c r="J91" s="403">
        <f t="shared" si="38"/>
        <v>499.75</v>
      </c>
      <c r="K91" s="403">
        <f t="shared" si="38"/>
        <v>499.75</v>
      </c>
      <c r="L91" s="403">
        <f t="shared" si="38"/>
        <v>499.75</v>
      </c>
      <c r="M91" s="403">
        <f t="shared" si="38"/>
        <v>499.75</v>
      </c>
      <c r="N91" s="403">
        <f t="shared" si="38"/>
        <v>499.75</v>
      </c>
      <c r="O91" s="403">
        <f t="shared" si="38"/>
        <v>499.75</v>
      </c>
      <c r="P91" s="403">
        <f t="shared" si="38"/>
        <v>499.75</v>
      </c>
      <c r="Q91" s="403">
        <f t="shared" si="38"/>
        <v>499.75</v>
      </c>
    </row>
    <row r="92" spans="1:19">
      <c r="A92" s="419" t="s">
        <v>205</v>
      </c>
      <c r="D92" s="405" t="s">
        <v>194</v>
      </c>
      <c r="E92" s="406">
        <f>E90-E91</f>
        <v>1499.25</v>
      </c>
      <c r="F92" s="403">
        <f t="shared" ref="F92:Q92" si="39">F90-F91</f>
        <v>1499.25</v>
      </c>
      <c r="G92" s="403">
        <f t="shared" si="39"/>
        <v>1499.25</v>
      </c>
      <c r="H92" s="403">
        <f t="shared" si="39"/>
        <v>1499.25</v>
      </c>
      <c r="I92" s="403">
        <f t="shared" si="39"/>
        <v>1499.25</v>
      </c>
      <c r="J92" s="403">
        <f t="shared" si="39"/>
        <v>1499.25</v>
      </c>
      <c r="K92" s="403">
        <f t="shared" si="39"/>
        <v>1499.25</v>
      </c>
      <c r="L92" s="403">
        <f t="shared" si="39"/>
        <v>1499.25</v>
      </c>
      <c r="M92" s="403">
        <f t="shared" si="39"/>
        <v>1499.25</v>
      </c>
      <c r="N92" s="403">
        <f t="shared" si="39"/>
        <v>1499.25</v>
      </c>
      <c r="O92" s="403">
        <f t="shared" si="39"/>
        <v>1499.25</v>
      </c>
      <c r="P92" s="403">
        <f t="shared" si="39"/>
        <v>1499.25</v>
      </c>
      <c r="Q92" s="403">
        <f t="shared" si="39"/>
        <v>1499.25</v>
      </c>
    </row>
    <row r="93" spans="1:19">
      <c r="A93" s="419"/>
      <c r="D93" s="405" t="s">
        <v>195</v>
      </c>
      <c r="E93" s="406"/>
      <c r="F93" s="403">
        <f t="shared" ref="F93:Q93" si="40">F92-G81</f>
        <v>-655.75</v>
      </c>
      <c r="G93" s="403">
        <f t="shared" si="40"/>
        <v>-420.75</v>
      </c>
      <c r="H93" s="403">
        <f t="shared" si="40"/>
        <v>-293.75</v>
      </c>
      <c r="I93" s="403">
        <f t="shared" si="40"/>
        <v>-180.75</v>
      </c>
      <c r="J93" s="403">
        <f t="shared" si="40"/>
        <v>-102.75</v>
      </c>
      <c r="K93" s="403">
        <f t="shared" si="40"/>
        <v>-110.75</v>
      </c>
      <c r="L93" s="403">
        <f t="shared" si="40"/>
        <v>48.25</v>
      </c>
      <c r="M93" s="403">
        <f t="shared" si="40"/>
        <v>103.25</v>
      </c>
      <c r="N93" s="403">
        <f t="shared" si="40"/>
        <v>141.25</v>
      </c>
      <c r="O93" s="403">
        <f t="shared" si="40"/>
        <v>174.25</v>
      </c>
      <c r="P93" s="403">
        <f t="shared" si="40"/>
        <v>197.25</v>
      </c>
      <c r="Q93" s="403">
        <f t="shared" si="40"/>
        <v>217.25</v>
      </c>
    </row>
    <row r="94" spans="1:19">
      <c r="D94" s="407" t="s">
        <v>197</v>
      </c>
      <c r="E94" s="406"/>
      <c r="F94" s="403">
        <f>F93+F68</f>
        <v>-555.75</v>
      </c>
      <c r="G94" s="403">
        <f t="shared" ref="G94" si="41">G93+G68</f>
        <v>-320.75</v>
      </c>
      <c r="H94" s="403">
        <f t="shared" ref="H94:Q94" si="42">H93+I68</f>
        <v>-193.75</v>
      </c>
      <c r="I94" s="403">
        <f t="shared" si="42"/>
        <v>-80.75</v>
      </c>
      <c r="J94" s="403">
        <f t="shared" si="42"/>
        <v>-2.75</v>
      </c>
      <c r="K94" s="403">
        <f t="shared" si="42"/>
        <v>-10.75</v>
      </c>
      <c r="L94" s="403">
        <f t="shared" si="42"/>
        <v>148.25</v>
      </c>
      <c r="M94" s="403">
        <f t="shared" si="42"/>
        <v>203.25</v>
      </c>
      <c r="N94" s="403">
        <f t="shared" si="42"/>
        <v>241.25</v>
      </c>
      <c r="O94" s="403">
        <f t="shared" si="42"/>
        <v>274.25</v>
      </c>
      <c r="P94" s="403">
        <f t="shared" si="42"/>
        <v>297.25</v>
      </c>
      <c r="Q94" s="403">
        <f t="shared" si="42"/>
        <v>317.25</v>
      </c>
    </row>
    <row r="95" spans="1:19">
      <c r="D95" s="407" t="s">
        <v>196</v>
      </c>
      <c r="E95" s="406"/>
      <c r="F95" s="420">
        <f t="shared" ref="F95:G95" si="43">F54*F94</f>
        <v>-2223</v>
      </c>
      <c r="G95" s="420">
        <f t="shared" si="43"/>
        <v>-1924.5</v>
      </c>
      <c r="H95" s="420">
        <f t="shared" ref="H95:Q95" si="44">I54*H94</f>
        <v>-1937.5</v>
      </c>
      <c r="I95" s="420">
        <f t="shared" si="44"/>
        <v>-969</v>
      </c>
      <c r="J95" s="420">
        <f t="shared" si="44"/>
        <v>-38.5</v>
      </c>
      <c r="K95" s="420">
        <f t="shared" si="44"/>
        <v>-161.25</v>
      </c>
      <c r="L95" s="420">
        <f t="shared" si="44"/>
        <v>2965</v>
      </c>
      <c r="M95" s="420">
        <f t="shared" si="44"/>
        <v>5081.25</v>
      </c>
      <c r="N95" s="420">
        <f t="shared" si="44"/>
        <v>7237.5</v>
      </c>
      <c r="O95" s="420">
        <f t="shared" si="44"/>
        <v>9598.75</v>
      </c>
      <c r="P95" s="420">
        <f t="shared" si="44"/>
        <v>11890</v>
      </c>
      <c r="Q95" s="420">
        <f t="shared" si="44"/>
        <v>14276.25</v>
      </c>
    </row>
    <row r="96" spans="1:19">
      <c r="D96" s="416"/>
      <c r="E96" s="417"/>
      <c r="F96" s="418"/>
      <c r="G96" s="418"/>
      <c r="H96" s="418"/>
      <c r="I96" s="418"/>
      <c r="J96" s="418"/>
      <c r="K96" s="418"/>
      <c r="L96" s="418"/>
      <c r="M96" s="418"/>
      <c r="N96" s="418"/>
      <c r="O96" s="418"/>
      <c r="P96" s="418"/>
      <c r="Q96" s="418"/>
    </row>
    <row r="97" spans="1:17">
      <c r="A97" s="669"/>
      <c r="H97" s="670"/>
      <c r="I97" s="670"/>
      <c r="J97" s="670"/>
      <c r="K97" s="670"/>
      <c r="L97" s="670"/>
      <c r="M97" s="670"/>
      <c r="N97" s="670"/>
    </row>
    <row r="98" spans="1:17">
      <c r="A98" s="419"/>
      <c r="D98" s="671" t="s">
        <v>75</v>
      </c>
      <c r="E98" s="671" t="s">
        <v>356</v>
      </c>
      <c r="F98" s="671" t="s">
        <v>36</v>
      </c>
      <c r="G98" s="672"/>
      <c r="H98" s="161" t="s">
        <v>52</v>
      </c>
      <c r="I98" s="161" t="s">
        <v>38</v>
      </c>
      <c r="J98" s="162" t="s">
        <v>39</v>
      </c>
      <c r="K98" s="410" t="s">
        <v>40</v>
      </c>
      <c r="L98" s="411" t="s">
        <v>41</v>
      </c>
      <c r="M98" s="411" t="s">
        <v>42</v>
      </c>
      <c r="N98" s="412" t="s">
        <v>43</v>
      </c>
    </row>
    <row r="99" spans="1:17">
      <c r="A99" s="419"/>
      <c r="D99" s="405"/>
      <c r="E99" s="673"/>
      <c r="F99" s="674"/>
      <c r="G99" s="674"/>
      <c r="H99" s="675">
        <f>L81+H100</f>
        <v>1824.6666666666667</v>
      </c>
      <c r="I99" s="675">
        <f t="shared" ref="I99:N99" si="45">M81+I100</f>
        <v>1596.1</v>
      </c>
      <c r="J99" s="675">
        <f t="shared" si="45"/>
        <v>1507.68</v>
      </c>
      <c r="K99" s="675">
        <f t="shared" si="45"/>
        <v>1448.5333333333333</v>
      </c>
      <c r="L99" s="675">
        <f t="shared" si="45"/>
        <v>1400.7142857142858</v>
      </c>
      <c r="M99" s="675">
        <f t="shared" si="45"/>
        <v>1367.1</v>
      </c>
      <c r="N99" s="675">
        <f t="shared" si="45"/>
        <v>1367.4666666666667</v>
      </c>
    </row>
    <row r="100" spans="1:17">
      <c r="H100" s="682">
        <f>(L81*2)/15</f>
        <v>214.66666666666666</v>
      </c>
      <c r="I100" s="682">
        <f>(M81*2)/20</f>
        <v>145.1</v>
      </c>
      <c r="J100" s="682">
        <f>(N81*2)/25</f>
        <v>111.68</v>
      </c>
      <c r="K100" s="682">
        <f>(O81*2)/30</f>
        <v>90.533333333333331</v>
      </c>
      <c r="L100" s="682">
        <f>(P81*2)/35</f>
        <v>75.714285714285708</v>
      </c>
      <c r="M100" s="682">
        <f>(Q81*2)/40</f>
        <v>65.099999999999994</v>
      </c>
      <c r="N100" s="682">
        <f t="shared" ref="N100" si="46">(R81*1)/15</f>
        <v>85.466666666666669</v>
      </c>
    </row>
    <row r="101" spans="1:17">
      <c r="D101" s="676" t="s">
        <v>75</v>
      </c>
      <c r="E101" s="676" t="s">
        <v>355</v>
      </c>
      <c r="F101" s="403"/>
      <c r="G101" s="677"/>
      <c r="H101" s="678">
        <v>3</v>
      </c>
      <c r="I101" s="678">
        <v>4</v>
      </c>
      <c r="J101" s="678">
        <v>5</v>
      </c>
      <c r="K101" s="678">
        <v>6</v>
      </c>
      <c r="L101" s="678">
        <v>7</v>
      </c>
      <c r="M101" s="678">
        <v>8</v>
      </c>
      <c r="N101" s="678">
        <v>9</v>
      </c>
    </row>
    <row r="102" spans="1:17">
      <c r="D102" s="679"/>
      <c r="E102" s="680"/>
      <c r="F102" s="403"/>
      <c r="G102" s="677"/>
      <c r="H102" s="681">
        <f>L81+H103</f>
        <v>1932</v>
      </c>
      <c r="I102" s="681">
        <f t="shared" ref="I102:N102" si="47">M81+I103</f>
        <v>1741.2</v>
      </c>
      <c r="J102" s="681">
        <f t="shared" si="47"/>
        <v>1675.2</v>
      </c>
      <c r="K102" s="681">
        <f t="shared" si="47"/>
        <v>1629.6</v>
      </c>
      <c r="L102" s="681">
        <f t="shared" si="47"/>
        <v>1590</v>
      </c>
      <c r="M102" s="681">
        <f t="shared" si="47"/>
        <v>1562.4</v>
      </c>
      <c r="N102" s="681">
        <f t="shared" si="47"/>
        <v>1538.4</v>
      </c>
    </row>
    <row r="103" spans="1:17">
      <c r="H103" s="682">
        <f>(L81*3)/15</f>
        <v>322</v>
      </c>
      <c r="I103" s="682">
        <f>(M81*4)/20</f>
        <v>290.2</v>
      </c>
      <c r="J103" s="682">
        <f>(N81*5)/25</f>
        <v>279.2</v>
      </c>
      <c r="K103" s="682">
        <f>(O81*6)/30</f>
        <v>271.60000000000002</v>
      </c>
      <c r="L103" s="682">
        <f>(P81*7)/35</f>
        <v>265</v>
      </c>
      <c r="M103" s="682">
        <f>(Q81*8)/40</f>
        <v>260.39999999999998</v>
      </c>
      <c r="N103" s="682">
        <f>(R81*9)/45</f>
        <v>256.39999999999998</v>
      </c>
    </row>
    <row r="104" spans="1:17">
      <c r="D104" s="683"/>
      <c r="E104" s="406"/>
      <c r="F104" s="403"/>
      <c r="G104" s="403"/>
      <c r="H104" s="684">
        <v>1</v>
      </c>
      <c r="I104" s="684">
        <v>2</v>
      </c>
      <c r="J104" s="684">
        <v>2</v>
      </c>
      <c r="K104" s="684">
        <v>3</v>
      </c>
      <c r="L104" s="684">
        <v>3</v>
      </c>
      <c r="M104" s="684">
        <v>4</v>
      </c>
      <c r="N104" s="684">
        <v>4</v>
      </c>
    </row>
    <row r="105" spans="1:17">
      <c r="D105" s="685" t="s">
        <v>75</v>
      </c>
      <c r="E105" s="685" t="s">
        <v>341</v>
      </c>
      <c r="F105" s="420"/>
      <c r="G105" s="420"/>
      <c r="H105" s="675">
        <f>L81+H106</f>
        <v>1717.3333333333333</v>
      </c>
      <c r="I105" s="675">
        <f t="shared" ref="I105:N105" si="48">M81+I106</f>
        <v>1596.1</v>
      </c>
      <c r="J105" s="675">
        <f t="shared" si="48"/>
        <v>1507.68</v>
      </c>
      <c r="K105" s="675">
        <f t="shared" si="48"/>
        <v>1493.8</v>
      </c>
      <c r="L105" s="675">
        <f t="shared" si="48"/>
        <v>1438.5714285714287</v>
      </c>
      <c r="M105" s="675">
        <f t="shared" si="48"/>
        <v>1432.2</v>
      </c>
      <c r="N105" s="675">
        <f t="shared" si="48"/>
        <v>1395.9555555555555</v>
      </c>
    </row>
    <row r="106" spans="1:17">
      <c r="D106" s="416"/>
      <c r="E106" s="417"/>
      <c r="F106" s="418"/>
      <c r="G106" s="418"/>
      <c r="H106" s="682">
        <f>(L81)/15</f>
        <v>107.33333333333333</v>
      </c>
      <c r="I106" s="682">
        <f>(M81*2)/20</f>
        <v>145.1</v>
      </c>
      <c r="J106" s="682">
        <f>(N81*2)/25</f>
        <v>111.68</v>
      </c>
      <c r="K106" s="682">
        <f>(O81*3)/30</f>
        <v>135.80000000000001</v>
      </c>
      <c r="L106" s="682">
        <f>(P81*3)/35</f>
        <v>113.57142857142857</v>
      </c>
      <c r="M106" s="682">
        <f>(Q81*4)/40</f>
        <v>130.19999999999999</v>
      </c>
      <c r="N106" s="682">
        <f>(R81*4)/45</f>
        <v>113.95555555555555</v>
      </c>
    </row>
    <row r="108" spans="1:17">
      <c r="A108" s="686"/>
      <c r="B108" s="687"/>
      <c r="C108" s="688"/>
      <c r="D108" s="688"/>
    </row>
    <row r="109" spans="1:17">
      <c r="F109" s="689" t="s">
        <v>342</v>
      </c>
      <c r="G109" s="689"/>
      <c r="H109" s="690" t="s">
        <v>343</v>
      </c>
      <c r="J109" s="691"/>
      <c r="K109" s="689" t="s">
        <v>344</v>
      </c>
    </row>
    <row r="110" spans="1:17">
      <c r="A110" s="97"/>
      <c r="B110" s="97"/>
      <c r="C110" s="98"/>
      <c r="D110" s="692"/>
      <c r="E110" s="693"/>
      <c r="F110" s="694"/>
      <c r="G110" s="694"/>
      <c r="H110" s="695" t="str">
        <f>H98</f>
        <v>15-19</v>
      </c>
      <c r="I110" s="695" t="str">
        <f t="shared" ref="I110:N110" si="49">I98</f>
        <v>20-24</v>
      </c>
      <c r="J110" s="695" t="str">
        <f t="shared" si="49"/>
        <v>25-29</v>
      </c>
      <c r="K110" s="695" t="str">
        <f t="shared" si="49"/>
        <v>30-34</v>
      </c>
      <c r="L110" s="695" t="str">
        <f t="shared" si="49"/>
        <v>35-39</v>
      </c>
      <c r="M110" s="695" t="str">
        <f t="shared" si="49"/>
        <v>40-44</v>
      </c>
      <c r="N110" s="695" t="str">
        <f t="shared" si="49"/>
        <v>45+</v>
      </c>
      <c r="O110" s="696"/>
      <c r="P110" s="697"/>
      <c r="Q110" s="697"/>
    </row>
    <row r="111" spans="1:17">
      <c r="A111" s="698"/>
      <c r="B111" s="698"/>
      <c r="C111" s="99"/>
      <c r="D111" s="699"/>
      <c r="E111" s="700"/>
      <c r="F111" s="394"/>
      <c r="G111" s="394"/>
      <c r="H111" s="394">
        <f>H102</f>
        <v>1932</v>
      </c>
      <c r="I111" s="394">
        <f t="shared" ref="I111:N111" si="50">I102</f>
        <v>1741.2</v>
      </c>
      <c r="J111" s="394">
        <f t="shared" si="50"/>
        <v>1675.2</v>
      </c>
      <c r="K111" s="394">
        <f t="shared" si="50"/>
        <v>1629.6</v>
      </c>
      <c r="L111" s="394">
        <f t="shared" si="50"/>
        <v>1590</v>
      </c>
      <c r="M111" s="394">
        <f t="shared" si="50"/>
        <v>1562.4</v>
      </c>
      <c r="N111" s="394">
        <f t="shared" si="50"/>
        <v>1538.4</v>
      </c>
      <c r="O111" s="394"/>
      <c r="P111" s="82"/>
      <c r="Q111" s="82"/>
    </row>
    <row r="112" spans="1:17">
      <c r="A112" s="698"/>
      <c r="B112" s="698"/>
      <c r="C112" s="99"/>
      <c r="D112" s="699"/>
      <c r="E112" s="700"/>
      <c r="F112" s="394"/>
      <c r="G112" s="394"/>
      <c r="H112" s="394"/>
      <c r="I112" s="394"/>
      <c r="J112" s="394"/>
      <c r="K112" s="394"/>
      <c r="L112" s="394"/>
      <c r="M112" s="394"/>
      <c r="N112" s="394"/>
      <c r="O112" s="394"/>
      <c r="P112" s="82"/>
      <c r="Q112" s="82"/>
    </row>
    <row r="113" spans="1:17">
      <c r="A113" s="701"/>
      <c r="B113" s="277">
        <v>1150</v>
      </c>
      <c r="C113" s="277">
        <v>50</v>
      </c>
      <c r="D113" s="307"/>
      <c r="E113" s="702" t="s">
        <v>345</v>
      </c>
      <c r="F113" s="286"/>
      <c r="G113" s="277">
        <f>B113+C113</f>
        <v>1200</v>
      </c>
      <c r="H113" s="119">
        <f t="shared" ref="H113:N113" si="51">$G113</f>
        <v>1200</v>
      </c>
      <c r="I113" s="119">
        <f t="shared" si="51"/>
        <v>1200</v>
      </c>
      <c r="J113" s="119">
        <f t="shared" si="51"/>
        <v>1200</v>
      </c>
      <c r="K113" s="119">
        <f t="shared" si="51"/>
        <v>1200</v>
      </c>
      <c r="L113" s="119">
        <f t="shared" si="51"/>
        <v>1200</v>
      </c>
      <c r="M113" s="119">
        <f t="shared" si="51"/>
        <v>1200</v>
      </c>
      <c r="N113" s="119">
        <f t="shared" si="51"/>
        <v>1200</v>
      </c>
      <c r="O113" s="15"/>
      <c r="P113" s="15"/>
      <c r="Q113" s="15"/>
    </row>
    <row r="114" spans="1:17">
      <c r="A114" s="698"/>
      <c r="B114" s="698"/>
      <c r="C114" s="99"/>
      <c r="D114" s="699"/>
      <c r="E114" s="700"/>
      <c r="F114" s="394"/>
      <c r="G114" s="394"/>
      <c r="H114" s="394">
        <f>SUM(H111:H113)</f>
        <v>3132</v>
      </c>
      <c r="I114" s="394">
        <f t="shared" ref="I114:N114" si="52">SUM(I111:I113)</f>
        <v>2941.2</v>
      </c>
      <c r="J114" s="394">
        <f t="shared" si="52"/>
        <v>2875.2</v>
      </c>
      <c r="K114" s="394">
        <f t="shared" si="52"/>
        <v>2829.6</v>
      </c>
      <c r="L114" s="394">
        <f t="shared" si="52"/>
        <v>2790</v>
      </c>
      <c r="M114" s="394">
        <f t="shared" si="52"/>
        <v>2762.4</v>
      </c>
      <c r="N114" s="394">
        <f t="shared" si="52"/>
        <v>2738.4</v>
      </c>
      <c r="O114" s="394"/>
      <c r="P114" s="82"/>
      <c r="Q114" s="82"/>
    </row>
    <row r="115" spans="1:17">
      <c r="A115" s="698"/>
      <c r="B115" s="698"/>
      <c r="C115" s="99"/>
      <c r="D115" s="699"/>
      <c r="E115" s="700"/>
      <c r="F115" s="394"/>
      <c r="G115" s="394"/>
      <c r="H115" s="394"/>
      <c r="I115" s="394"/>
      <c r="J115" s="394"/>
      <c r="K115" s="394"/>
      <c r="L115" s="394"/>
      <c r="M115" s="394"/>
      <c r="N115" s="394"/>
      <c r="O115" s="394"/>
      <c r="P115" s="82"/>
      <c r="Q115" s="82"/>
    </row>
    <row r="116" spans="1:17" ht="15">
      <c r="A116" s="703"/>
      <c r="B116" s="101"/>
      <c r="C116" s="15"/>
      <c r="D116" s="704"/>
      <c r="E116" s="702" t="s">
        <v>346</v>
      </c>
      <c r="F116" s="705"/>
      <c r="G116" s="119">
        <f>G113</f>
        <v>1200</v>
      </c>
      <c r="H116" s="119">
        <f>($G116*3)/15</f>
        <v>240</v>
      </c>
      <c r="I116" s="119">
        <f>($G116*4)/20</f>
        <v>240</v>
      </c>
      <c r="J116" s="119">
        <f>($G116*5)/25</f>
        <v>240</v>
      </c>
      <c r="K116" s="119">
        <f>($G116*6)/30</f>
        <v>240</v>
      </c>
      <c r="L116" s="119">
        <f>($G116*7)/35</f>
        <v>240</v>
      </c>
      <c r="M116" s="119">
        <f>($G116*8)/40</f>
        <v>240</v>
      </c>
      <c r="N116" s="119">
        <f>($G116*9)/45</f>
        <v>240</v>
      </c>
      <c r="O116" s="704"/>
      <c r="P116" s="15"/>
      <c r="Q116" s="15"/>
    </row>
    <row r="117" spans="1:17" ht="15">
      <c r="A117" s="703"/>
      <c r="B117" s="101"/>
      <c r="C117" s="15"/>
      <c r="D117" s="704"/>
      <c r="E117" s="704"/>
      <c r="F117" s="705"/>
      <c r="G117" s="706" t="s">
        <v>122</v>
      </c>
      <c r="H117" s="706">
        <f>H114+H116</f>
        <v>3372</v>
      </c>
      <c r="I117" s="706">
        <f t="shared" ref="I117:N117" si="53">I114+I116</f>
        <v>3181.2</v>
      </c>
      <c r="J117" s="706">
        <f t="shared" si="53"/>
        <v>3115.2</v>
      </c>
      <c r="K117" s="706">
        <f t="shared" si="53"/>
        <v>3069.6</v>
      </c>
      <c r="L117" s="706">
        <f t="shared" si="53"/>
        <v>3030</v>
      </c>
      <c r="M117" s="706">
        <f t="shared" si="53"/>
        <v>3002.4</v>
      </c>
      <c r="N117" s="706">
        <f t="shared" si="53"/>
        <v>2978.4</v>
      </c>
      <c r="O117" s="704"/>
      <c r="P117" s="15"/>
      <c r="Q117" s="15"/>
    </row>
    <row r="118" spans="1:17" ht="15">
      <c r="A118" s="703"/>
      <c r="B118" s="101"/>
      <c r="C118" s="15"/>
      <c r="D118" s="704"/>
      <c r="E118" s="707">
        <v>2.5000000000000001E-2</v>
      </c>
      <c r="F118" s="705"/>
      <c r="G118" s="119"/>
      <c r="H118" s="708">
        <f t="shared" ref="H118:N118" si="54">H117*$E118</f>
        <v>84.300000000000011</v>
      </c>
      <c r="I118" s="708">
        <f t="shared" si="54"/>
        <v>79.53</v>
      </c>
      <c r="J118" s="708">
        <f t="shared" si="54"/>
        <v>77.88</v>
      </c>
      <c r="K118" s="708">
        <f t="shared" si="54"/>
        <v>76.740000000000009</v>
      </c>
      <c r="L118" s="708">
        <f t="shared" si="54"/>
        <v>75.75</v>
      </c>
      <c r="M118" s="708">
        <f t="shared" si="54"/>
        <v>75.06</v>
      </c>
      <c r="N118" s="708">
        <f t="shared" si="54"/>
        <v>74.460000000000008</v>
      </c>
      <c r="O118" s="704"/>
      <c r="P118" s="15"/>
      <c r="Q118" s="15"/>
    </row>
    <row r="119" spans="1:17" ht="15">
      <c r="A119" s="703"/>
      <c r="B119" s="709" t="s">
        <v>50</v>
      </c>
      <c r="C119" s="710" t="s">
        <v>347</v>
      </c>
      <c r="D119" s="710" t="s">
        <v>348</v>
      </c>
      <c r="E119" s="707"/>
      <c r="F119" s="705"/>
      <c r="G119" s="461" t="s">
        <v>225</v>
      </c>
      <c r="H119" s="711" t="str">
        <f t="shared" ref="H119:N119" si="55">H110</f>
        <v>15-19</v>
      </c>
      <c r="I119" s="711" t="str">
        <f t="shared" si="55"/>
        <v>20-24</v>
      </c>
      <c r="J119" s="711" t="str">
        <f t="shared" si="55"/>
        <v>25-29</v>
      </c>
      <c r="K119" s="712" t="str">
        <f t="shared" si="55"/>
        <v>30-34</v>
      </c>
      <c r="L119" s="712" t="str">
        <f t="shared" si="55"/>
        <v>35-39</v>
      </c>
      <c r="M119" s="712" t="str">
        <f t="shared" si="55"/>
        <v>40-44</v>
      </c>
      <c r="N119" s="712" t="str">
        <f t="shared" si="55"/>
        <v>45+</v>
      </c>
      <c r="O119" s="696" t="s">
        <v>349</v>
      </c>
      <c r="P119" s="40"/>
      <c r="Q119" s="15"/>
    </row>
    <row r="120" spans="1:17" ht="15.75">
      <c r="A120" s="703" t="s">
        <v>350</v>
      </c>
      <c r="B120" s="713">
        <f>J120</f>
        <v>3193.08</v>
      </c>
      <c r="C120" s="714"/>
      <c r="D120" s="715">
        <f>B120+C120</f>
        <v>3193.08</v>
      </c>
      <c r="E120" s="704"/>
      <c r="F120" s="705"/>
      <c r="G120" s="460" t="s">
        <v>122</v>
      </c>
      <c r="H120" s="716">
        <f t="shared" ref="H120:N120" si="56">SUM(H117:H118)</f>
        <v>3456.3</v>
      </c>
      <c r="I120" s="716">
        <f t="shared" si="56"/>
        <v>3260.73</v>
      </c>
      <c r="J120" s="717">
        <f t="shared" si="56"/>
        <v>3193.08</v>
      </c>
      <c r="K120" s="716">
        <f t="shared" si="56"/>
        <v>3146.34</v>
      </c>
      <c r="L120" s="716">
        <f t="shared" si="56"/>
        <v>3105.75</v>
      </c>
      <c r="M120" s="716">
        <f t="shared" si="56"/>
        <v>3077.46</v>
      </c>
      <c r="N120" s="716">
        <f t="shared" si="56"/>
        <v>3052.86</v>
      </c>
      <c r="O120" s="716">
        <f>S81</f>
        <v>640</v>
      </c>
      <c r="P120" s="40"/>
      <c r="Q120" s="15"/>
    </row>
    <row r="121" spans="1:17">
      <c r="A121" s="382" t="s">
        <v>351</v>
      </c>
      <c r="B121" s="101"/>
      <c r="C121" s="15"/>
      <c r="D121" s="704"/>
      <c r="E121" s="704"/>
      <c r="F121" s="704"/>
      <c r="G121" s="718" t="s">
        <v>352</v>
      </c>
      <c r="H121" s="719">
        <f>$C120</f>
        <v>0</v>
      </c>
      <c r="I121" s="719">
        <f>$C120</f>
        <v>0</v>
      </c>
      <c r="J121" s="719">
        <f>$C120</f>
        <v>0</v>
      </c>
      <c r="K121" s="719">
        <f>$C120</f>
        <v>0</v>
      </c>
      <c r="L121" s="719"/>
      <c r="M121" s="719"/>
      <c r="N121" s="719"/>
      <c r="O121" s="719"/>
      <c r="P121" s="15"/>
      <c r="Q121" s="15"/>
    </row>
    <row r="122" spans="1:17" ht="15.75">
      <c r="A122" s="720" t="s">
        <v>365</v>
      </c>
      <c r="B122" s="721"/>
      <c r="C122" s="722"/>
      <c r="D122" s="723"/>
      <c r="E122" s="723"/>
      <c r="F122" s="723"/>
      <c r="G122" s="723"/>
      <c r="H122" s="706">
        <f t="shared" ref="H122:N122" si="57">SUM(H120:H121)</f>
        <v>3456.3</v>
      </c>
      <c r="I122" s="706">
        <f t="shared" si="57"/>
        <v>3260.73</v>
      </c>
      <c r="J122" s="724">
        <f t="shared" si="57"/>
        <v>3193.08</v>
      </c>
      <c r="K122" s="706">
        <f t="shared" si="57"/>
        <v>3146.34</v>
      </c>
      <c r="L122" s="706">
        <f t="shared" si="57"/>
        <v>3105.75</v>
      </c>
      <c r="M122" s="706">
        <f t="shared" si="57"/>
        <v>3077.46</v>
      </c>
      <c r="N122" s="706">
        <f t="shared" si="57"/>
        <v>3052.86</v>
      </c>
      <c r="O122" s="706">
        <f>O120</f>
        <v>640</v>
      </c>
      <c r="P122" s="15"/>
      <c r="Q122" s="15"/>
    </row>
    <row r="123" spans="1:17">
      <c r="A123" s="720" t="s">
        <v>364</v>
      </c>
      <c r="B123" s="721"/>
      <c r="C123" s="722"/>
      <c r="D123" s="723"/>
      <c r="E123" s="723"/>
      <c r="F123" s="723"/>
      <c r="G123" s="723"/>
      <c r="H123" s="723"/>
      <c r="I123" s="723"/>
      <c r="J123" s="723"/>
      <c r="K123" s="723"/>
      <c r="L123" s="723"/>
      <c r="M123" s="723"/>
      <c r="N123" s="723"/>
      <c r="O123" s="723"/>
    </row>
    <row r="124" spans="1:17">
      <c r="A124" s="720"/>
      <c r="B124" s="721"/>
      <c r="C124" s="722"/>
      <c r="D124" s="723"/>
      <c r="E124" s="723"/>
      <c r="F124" s="723"/>
      <c r="G124" s="723"/>
      <c r="H124" s="723"/>
      <c r="I124" s="723"/>
      <c r="J124" s="723"/>
      <c r="K124" s="723"/>
      <c r="L124" s="723"/>
      <c r="M124" s="723"/>
      <c r="N124" s="723"/>
      <c r="O124" s="723"/>
    </row>
    <row r="125" spans="1:17">
      <c r="A125" s="725"/>
      <c r="B125" s="721"/>
      <c r="C125" s="722"/>
    </row>
    <row r="126" spans="1:17" ht="18">
      <c r="A126" s="729" t="s">
        <v>373</v>
      </c>
      <c r="B126" s="687"/>
      <c r="C126" s="688"/>
      <c r="D126" s="688"/>
    </row>
    <row r="127" spans="1:17">
      <c r="F127" s="689" t="s">
        <v>342</v>
      </c>
      <c r="G127" s="689"/>
      <c r="H127" s="690" t="s">
        <v>343</v>
      </c>
      <c r="J127" s="691"/>
      <c r="K127" s="689" t="s">
        <v>344</v>
      </c>
    </row>
    <row r="128" spans="1:17">
      <c r="A128" s="97"/>
      <c r="B128" s="97"/>
      <c r="C128" s="98"/>
      <c r="D128" s="692"/>
      <c r="E128" s="693"/>
      <c r="F128" s="694"/>
      <c r="G128" s="694"/>
      <c r="H128" s="695" t="str">
        <f>H98</f>
        <v>15-19</v>
      </c>
      <c r="I128" s="695" t="str">
        <f t="shared" ref="I128:N128" si="58">I98</f>
        <v>20-24</v>
      </c>
      <c r="J128" s="695" t="str">
        <f t="shared" si="58"/>
        <v>25-29</v>
      </c>
      <c r="K128" s="695" t="str">
        <f t="shared" si="58"/>
        <v>30-34</v>
      </c>
      <c r="L128" s="695" t="str">
        <f t="shared" si="58"/>
        <v>35-39</v>
      </c>
      <c r="M128" s="695" t="str">
        <f t="shared" si="58"/>
        <v>40-44</v>
      </c>
      <c r="N128" s="695" t="str">
        <f t="shared" si="58"/>
        <v>45+</v>
      </c>
      <c r="O128" s="696" t="s">
        <v>349</v>
      </c>
      <c r="P128" s="697"/>
      <c r="Q128" s="697"/>
    </row>
    <row r="129" spans="1:17">
      <c r="A129" s="698"/>
      <c r="B129" s="698"/>
      <c r="C129" s="99"/>
      <c r="D129" s="699"/>
      <c r="E129" s="700"/>
      <c r="F129" s="394"/>
      <c r="G129" s="394"/>
      <c r="H129" s="394">
        <f>H105</f>
        <v>1717.3333333333333</v>
      </c>
      <c r="I129" s="394">
        <f t="shared" ref="I129:N129" si="59">I105</f>
        <v>1596.1</v>
      </c>
      <c r="J129" s="394">
        <f t="shared" si="59"/>
        <v>1507.68</v>
      </c>
      <c r="K129" s="394">
        <f t="shared" si="59"/>
        <v>1493.8</v>
      </c>
      <c r="L129" s="394">
        <f t="shared" si="59"/>
        <v>1438.5714285714287</v>
      </c>
      <c r="M129" s="394">
        <f t="shared" si="59"/>
        <v>1432.2</v>
      </c>
      <c r="N129" s="394">
        <f t="shared" si="59"/>
        <v>1395.9555555555555</v>
      </c>
      <c r="O129" s="394"/>
      <c r="P129" s="82"/>
      <c r="Q129" s="82"/>
    </row>
    <row r="130" spans="1:17">
      <c r="A130" s="698"/>
      <c r="B130" s="698"/>
      <c r="C130" s="99"/>
      <c r="D130" s="699"/>
      <c r="E130" s="700"/>
      <c r="F130" s="394"/>
      <c r="G130" s="394"/>
      <c r="H130" s="394"/>
      <c r="I130" s="394"/>
      <c r="J130" s="394"/>
      <c r="K130" s="394"/>
      <c r="L130" s="394"/>
      <c r="M130" s="394"/>
      <c r="N130" s="394"/>
      <c r="O130" s="394"/>
      <c r="P130" s="82"/>
      <c r="Q130" s="82"/>
    </row>
    <row r="131" spans="1:17">
      <c r="A131" s="701"/>
      <c r="B131" s="277">
        <v>1075</v>
      </c>
      <c r="C131" s="277">
        <v>50</v>
      </c>
      <c r="D131" s="307"/>
      <c r="E131" s="702" t="s">
        <v>345</v>
      </c>
      <c r="F131" s="286"/>
      <c r="G131" s="277">
        <f>B131+C131</f>
        <v>1125</v>
      </c>
      <c r="H131" s="119">
        <f t="shared" ref="H131:N131" si="60">$G131</f>
        <v>1125</v>
      </c>
      <c r="I131" s="119">
        <f t="shared" si="60"/>
        <v>1125</v>
      </c>
      <c r="J131" s="119">
        <f t="shared" si="60"/>
        <v>1125</v>
      </c>
      <c r="K131" s="119">
        <f t="shared" si="60"/>
        <v>1125</v>
      </c>
      <c r="L131" s="119">
        <f t="shared" si="60"/>
        <v>1125</v>
      </c>
      <c r="M131" s="119">
        <f t="shared" si="60"/>
        <v>1125</v>
      </c>
      <c r="N131" s="119">
        <f t="shared" si="60"/>
        <v>1125</v>
      </c>
      <c r="O131" s="15"/>
      <c r="P131" s="15"/>
      <c r="Q131" s="15"/>
    </row>
    <row r="132" spans="1:17">
      <c r="A132" s="698"/>
      <c r="B132" s="698"/>
      <c r="C132" s="99"/>
      <c r="D132" s="699"/>
      <c r="E132" s="700"/>
      <c r="F132" s="394"/>
      <c r="G132" s="394"/>
      <c r="H132" s="394">
        <f>SUM(H129:H131)</f>
        <v>2842.333333333333</v>
      </c>
      <c r="I132" s="394">
        <f t="shared" ref="I132:N132" si="61">SUM(I129:I131)</f>
        <v>2721.1</v>
      </c>
      <c r="J132" s="394">
        <f t="shared" si="61"/>
        <v>2632.6800000000003</v>
      </c>
      <c r="K132" s="394">
        <f t="shared" si="61"/>
        <v>2618.8000000000002</v>
      </c>
      <c r="L132" s="394">
        <f t="shared" si="61"/>
        <v>2563.5714285714284</v>
      </c>
      <c r="M132" s="394">
        <f t="shared" si="61"/>
        <v>2557.1999999999998</v>
      </c>
      <c r="N132" s="394">
        <f t="shared" si="61"/>
        <v>2520.9555555555553</v>
      </c>
      <c r="O132" s="394"/>
      <c r="P132" s="82"/>
      <c r="Q132" s="82"/>
    </row>
    <row r="133" spans="1:17">
      <c r="A133" s="698"/>
      <c r="B133" s="698"/>
      <c r="C133" s="99"/>
      <c r="D133" s="699"/>
      <c r="E133" s="700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82"/>
      <c r="Q133" s="82"/>
    </row>
    <row r="134" spans="1:17" ht="15">
      <c r="A134" s="703"/>
      <c r="B134" s="101"/>
      <c r="C134" s="15"/>
      <c r="D134" s="704"/>
      <c r="E134" s="702" t="s">
        <v>353</v>
      </c>
      <c r="F134" s="705"/>
      <c r="G134" s="119">
        <f>G131</f>
        <v>1125</v>
      </c>
      <c r="H134" s="119">
        <f>($G134*1)/15</f>
        <v>75</v>
      </c>
      <c r="I134" s="119">
        <f>($G134*2)/20</f>
        <v>112.5</v>
      </c>
      <c r="J134" s="119">
        <f>($G134*2)/25</f>
        <v>90</v>
      </c>
      <c r="K134" s="119">
        <f>($G134*3)/30</f>
        <v>112.5</v>
      </c>
      <c r="L134" s="119">
        <f>($G134*3)/35</f>
        <v>96.428571428571431</v>
      </c>
      <c r="M134" s="119">
        <f>($G134*4)/40</f>
        <v>112.5</v>
      </c>
      <c r="N134" s="119">
        <f>($G134*4)/45</f>
        <v>100</v>
      </c>
      <c r="O134" s="704"/>
      <c r="P134" s="15"/>
      <c r="Q134" s="15"/>
    </row>
    <row r="135" spans="1:17" ht="15">
      <c r="A135" s="703"/>
      <c r="B135" s="101"/>
      <c r="C135" s="15"/>
      <c r="D135" s="704"/>
      <c r="E135" s="704"/>
      <c r="F135" s="705"/>
      <c r="G135" s="706" t="s">
        <v>122</v>
      </c>
      <c r="H135" s="706">
        <f>H132+H134</f>
        <v>2917.333333333333</v>
      </c>
      <c r="I135" s="706">
        <f t="shared" ref="I135:N135" si="62">I132+I134</f>
        <v>2833.6</v>
      </c>
      <c r="J135" s="706">
        <f t="shared" si="62"/>
        <v>2722.6800000000003</v>
      </c>
      <c r="K135" s="706">
        <f t="shared" si="62"/>
        <v>2731.3</v>
      </c>
      <c r="L135" s="706">
        <f>L132+L134</f>
        <v>2660</v>
      </c>
      <c r="M135" s="706">
        <f t="shared" si="62"/>
        <v>2669.7</v>
      </c>
      <c r="N135" s="706">
        <f t="shared" si="62"/>
        <v>2620.9555555555553</v>
      </c>
      <c r="O135" s="704"/>
      <c r="P135" s="15"/>
      <c r="Q135" s="15"/>
    </row>
    <row r="136" spans="1:17" ht="15">
      <c r="A136" s="703"/>
      <c r="B136" s="101"/>
      <c r="C136" s="15"/>
      <c r="D136" s="704"/>
      <c r="E136" s="707">
        <v>0.03</v>
      </c>
      <c r="F136" s="705"/>
      <c r="G136" s="119"/>
      <c r="H136" s="708">
        <f t="shared" ref="H136:N136" si="63">H135*$E136</f>
        <v>87.519999999999982</v>
      </c>
      <c r="I136" s="708">
        <f t="shared" si="63"/>
        <v>85.007999999999996</v>
      </c>
      <c r="J136" s="708">
        <f t="shared" si="63"/>
        <v>81.680400000000006</v>
      </c>
      <c r="K136" s="708">
        <f t="shared" si="63"/>
        <v>81.939000000000007</v>
      </c>
      <c r="L136" s="708">
        <f t="shared" si="63"/>
        <v>79.8</v>
      </c>
      <c r="M136" s="708">
        <f t="shared" si="63"/>
        <v>80.090999999999994</v>
      </c>
      <c r="N136" s="708">
        <f t="shared" si="63"/>
        <v>78.62866666666666</v>
      </c>
      <c r="O136" s="704"/>
      <c r="P136" s="15"/>
      <c r="Q136" s="15"/>
    </row>
    <row r="137" spans="1:17" ht="15">
      <c r="A137" s="703"/>
      <c r="B137" s="101"/>
      <c r="C137" s="15"/>
      <c r="D137" s="704"/>
      <c r="E137" s="704"/>
      <c r="F137" s="705"/>
      <c r="G137" s="706"/>
      <c r="O137" s="704"/>
      <c r="P137" s="15"/>
      <c r="Q137" s="15"/>
    </row>
    <row r="138" spans="1:17" ht="15">
      <c r="A138" s="703"/>
      <c r="B138" s="709" t="s">
        <v>50</v>
      </c>
      <c r="C138" s="710" t="s">
        <v>347</v>
      </c>
      <c r="D138" s="710" t="s">
        <v>348</v>
      </c>
      <c r="E138" s="707"/>
      <c r="F138" s="705"/>
      <c r="G138" s="461" t="s">
        <v>225</v>
      </c>
      <c r="H138" s="711" t="str">
        <f>H119</f>
        <v>15-19</v>
      </c>
      <c r="I138" s="711" t="str">
        <f t="shared" ref="I138:N138" si="64">I119</f>
        <v>20-24</v>
      </c>
      <c r="J138" s="711" t="str">
        <f t="shared" si="64"/>
        <v>25-29</v>
      </c>
      <c r="K138" s="712" t="str">
        <f t="shared" si="64"/>
        <v>30-34</v>
      </c>
      <c r="L138" s="712" t="str">
        <f t="shared" si="64"/>
        <v>35-39</v>
      </c>
      <c r="M138" s="712" t="str">
        <f t="shared" si="64"/>
        <v>40-44</v>
      </c>
      <c r="N138" s="712" t="str">
        <f t="shared" si="64"/>
        <v>45+</v>
      </c>
      <c r="O138" s="696" t="s">
        <v>349</v>
      </c>
      <c r="P138" s="40"/>
      <c r="Q138" s="15"/>
    </row>
    <row r="139" spans="1:17" ht="15">
      <c r="A139" s="703" t="s">
        <v>350</v>
      </c>
      <c r="B139" s="713">
        <f>H141</f>
        <v>3004.853333333333</v>
      </c>
      <c r="C139" s="714"/>
      <c r="D139" s="715">
        <f>B139+C139</f>
        <v>3004.853333333333</v>
      </c>
      <c r="E139" s="704"/>
      <c r="F139" s="705"/>
      <c r="G139" s="460" t="s">
        <v>122</v>
      </c>
      <c r="H139" s="716">
        <f t="shared" ref="H139:N139" si="65">SUM(H135:H136)</f>
        <v>3004.853333333333</v>
      </c>
      <c r="I139" s="716">
        <f t="shared" si="65"/>
        <v>2918.6079999999997</v>
      </c>
      <c r="J139" s="716">
        <f t="shared" si="65"/>
        <v>2804.3604000000005</v>
      </c>
      <c r="K139" s="716">
        <f t="shared" si="65"/>
        <v>2813.239</v>
      </c>
      <c r="L139" s="716">
        <f t="shared" si="65"/>
        <v>2739.8</v>
      </c>
      <c r="M139" s="716">
        <f t="shared" si="65"/>
        <v>2749.7909999999997</v>
      </c>
      <c r="N139" s="716">
        <f t="shared" si="65"/>
        <v>2699.5842222222218</v>
      </c>
      <c r="O139" s="716">
        <f>O120</f>
        <v>640</v>
      </c>
    </row>
    <row r="140" spans="1:17">
      <c r="A140" s="382" t="s">
        <v>354</v>
      </c>
      <c r="B140" s="101"/>
      <c r="C140" s="15"/>
      <c r="D140" s="704"/>
      <c r="E140" s="704"/>
      <c r="F140" s="704"/>
      <c r="G140" s="718" t="s">
        <v>352</v>
      </c>
      <c r="H140" s="719">
        <f t="shared" ref="H140:N140" si="66">$C139</f>
        <v>0</v>
      </c>
      <c r="I140" s="719">
        <f t="shared" si="66"/>
        <v>0</v>
      </c>
      <c r="J140" s="719">
        <f t="shared" si="66"/>
        <v>0</v>
      </c>
      <c r="K140" s="719">
        <f t="shared" si="66"/>
        <v>0</v>
      </c>
      <c r="L140" s="719">
        <f t="shared" si="66"/>
        <v>0</v>
      </c>
      <c r="M140" s="719">
        <f t="shared" si="66"/>
        <v>0</v>
      </c>
      <c r="N140" s="719">
        <f t="shared" si="66"/>
        <v>0</v>
      </c>
      <c r="O140" s="719"/>
    </row>
    <row r="141" spans="1:17" ht="15.75">
      <c r="A141" s="720" t="s">
        <v>370</v>
      </c>
      <c r="B141" s="721"/>
      <c r="C141" s="722"/>
      <c r="D141" s="723"/>
      <c r="E141" s="723"/>
      <c r="F141" s="723"/>
      <c r="G141" s="723"/>
      <c r="H141" s="706">
        <f t="shared" ref="H141:N141" si="67">SUM(H139:H140)</f>
        <v>3004.853333333333</v>
      </c>
      <c r="I141" s="706">
        <f t="shared" si="67"/>
        <v>2918.6079999999997</v>
      </c>
      <c r="J141" s="724">
        <f t="shared" si="67"/>
        <v>2804.3604000000005</v>
      </c>
      <c r="K141" s="706">
        <f t="shared" si="67"/>
        <v>2813.239</v>
      </c>
      <c r="L141" s="706">
        <f t="shared" si="67"/>
        <v>2739.8</v>
      </c>
      <c r="M141" s="706">
        <f t="shared" si="67"/>
        <v>2749.7909999999997</v>
      </c>
      <c r="N141" s="706">
        <f t="shared" si="67"/>
        <v>2699.5842222222218</v>
      </c>
      <c r="O141" s="706">
        <f>O139</f>
        <v>640</v>
      </c>
    </row>
    <row r="142" spans="1:17">
      <c r="A142" s="720" t="s">
        <v>371</v>
      </c>
    </row>
    <row r="144" spans="1:17">
      <c r="A144" s="686"/>
      <c r="B144" s="687"/>
      <c r="C144" s="688"/>
      <c r="D144" s="688"/>
    </row>
    <row r="145" spans="1:17">
      <c r="F145" s="689" t="s">
        <v>342</v>
      </c>
      <c r="G145" s="689"/>
      <c r="H145" s="690" t="s">
        <v>343</v>
      </c>
      <c r="J145" s="691"/>
      <c r="K145" s="689" t="s">
        <v>344</v>
      </c>
    </row>
    <row r="146" spans="1:17">
      <c r="A146" s="97"/>
      <c r="B146" s="97"/>
      <c r="C146" s="98"/>
      <c r="D146" s="692"/>
      <c r="E146" s="693"/>
      <c r="F146" s="694"/>
      <c r="G146" s="694"/>
      <c r="H146" s="711" t="str">
        <f>H128</f>
        <v>15-19</v>
      </c>
      <c r="I146" s="711" t="str">
        <f t="shared" ref="I146:N146" si="68">I128</f>
        <v>20-24</v>
      </c>
      <c r="J146" s="711" t="str">
        <f t="shared" si="68"/>
        <v>25-29</v>
      </c>
      <c r="K146" s="711" t="str">
        <f t="shared" si="68"/>
        <v>30-34</v>
      </c>
      <c r="L146" s="711" t="str">
        <f t="shared" si="68"/>
        <v>35-39</v>
      </c>
      <c r="M146" s="711" t="str">
        <f t="shared" si="68"/>
        <v>40-44</v>
      </c>
      <c r="N146" s="695" t="str">
        <f t="shared" si="68"/>
        <v>45+</v>
      </c>
      <c r="O146" s="696" t="s">
        <v>349</v>
      </c>
      <c r="P146" s="697"/>
      <c r="Q146" s="697"/>
    </row>
    <row r="147" spans="1:17">
      <c r="A147" s="698"/>
      <c r="B147" s="698"/>
      <c r="C147" s="99"/>
      <c r="D147" s="699"/>
      <c r="E147" s="700"/>
      <c r="F147" s="394"/>
      <c r="G147" s="394"/>
      <c r="H147" s="394">
        <f>H99</f>
        <v>1824.6666666666667</v>
      </c>
      <c r="I147" s="394">
        <f t="shared" ref="I147:M147" si="69">I99</f>
        <v>1596.1</v>
      </c>
      <c r="J147" s="394">
        <f t="shared" si="69"/>
        <v>1507.68</v>
      </c>
      <c r="K147" s="394">
        <f t="shared" si="69"/>
        <v>1448.5333333333333</v>
      </c>
      <c r="L147" s="394">
        <f t="shared" si="69"/>
        <v>1400.7142857142858</v>
      </c>
      <c r="M147" s="394">
        <f t="shared" si="69"/>
        <v>1367.1</v>
      </c>
      <c r="N147" s="394">
        <f>N99</f>
        <v>1367.4666666666667</v>
      </c>
      <c r="O147" s="394"/>
      <c r="P147" s="82"/>
      <c r="Q147" s="82"/>
    </row>
    <row r="148" spans="1:17">
      <c r="A148" s="698"/>
      <c r="B148" s="698"/>
      <c r="C148" s="99"/>
      <c r="D148" s="699"/>
      <c r="E148" s="700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82"/>
      <c r="Q148" s="82"/>
    </row>
    <row r="149" spans="1:17">
      <c r="A149" s="701"/>
      <c r="B149" s="277">
        <v>1150</v>
      </c>
      <c r="C149" s="277">
        <v>50</v>
      </c>
      <c r="D149" s="307"/>
      <c r="E149" s="702" t="s">
        <v>345</v>
      </c>
      <c r="F149" s="286"/>
      <c r="G149" s="277">
        <f>B149+C149</f>
        <v>1200</v>
      </c>
      <c r="H149" s="119">
        <f t="shared" ref="H149:N149" si="70">$G149</f>
        <v>1200</v>
      </c>
      <c r="I149" s="119">
        <f t="shared" si="70"/>
        <v>1200</v>
      </c>
      <c r="J149" s="119">
        <f t="shared" si="70"/>
        <v>1200</v>
      </c>
      <c r="K149" s="119">
        <f t="shared" si="70"/>
        <v>1200</v>
      </c>
      <c r="L149" s="119">
        <f t="shared" si="70"/>
        <v>1200</v>
      </c>
      <c r="M149" s="119">
        <f t="shared" si="70"/>
        <v>1200</v>
      </c>
      <c r="N149" s="119">
        <f t="shared" si="70"/>
        <v>1200</v>
      </c>
      <c r="O149" s="15"/>
      <c r="P149" s="15"/>
      <c r="Q149" s="15"/>
    </row>
    <row r="150" spans="1:17">
      <c r="A150" s="698"/>
      <c r="B150" s="698"/>
      <c r="C150" s="99"/>
      <c r="D150" s="699"/>
      <c r="E150" s="700"/>
      <c r="F150" s="394"/>
      <c r="G150" s="394"/>
      <c r="H150" s="394">
        <f>SUM(H147:H149)</f>
        <v>3024.666666666667</v>
      </c>
      <c r="I150" s="394">
        <f t="shared" ref="I150:N150" si="71">SUM(I147:I149)</f>
        <v>2796.1</v>
      </c>
      <c r="J150" s="394">
        <f t="shared" si="71"/>
        <v>2707.6800000000003</v>
      </c>
      <c r="K150" s="394">
        <f t="shared" si="71"/>
        <v>2648.5333333333333</v>
      </c>
      <c r="L150" s="394">
        <f t="shared" si="71"/>
        <v>2600.7142857142858</v>
      </c>
      <c r="M150" s="394">
        <f t="shared" si="71"/>
        <v>2567.1</v>
      </c>
      <c r="N150" s="394">
        <f t="shared" si="71"/>
        <v>2567.4666666666667</v>
      </c>
      <c r="O150" s="394"/>
      <c r="P150" s="82"/>
      <c r="Q150" s="82"/>
    </row>
    <row r="151" spans="1:17">
      <c r="A151" s="698"/>
      <c r="B151" s="698"/>
      <c r="C151" s="99"/>
      <c r="D151" s="699"/>
      <c r="E151" s="700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82"/>
      <c r="Q151" s="82"/>
    </row>
    <row r="152" spans="1:17" ht="15">
      <c r="A152" s="703"/>
      <c r="B152" s="101"/>
      <c r="C152" s="15"/>
      <c r="D152" s="704"/>
      <c r="E152" s="702" t="s">
        <v>353</v>
      </c>
      <c r="F152" s="705"/>
      <c r="G152" s="119">
        <f>G149</f>
        <v>1200</v>
      </c>
      <c r="H152" s="119">
        <f>($G152*2)/15</f>
        <v>160</v>
      </c>
      <c r="I152" s="119">
        <f>($G152*2)/20</f>
        <v>120</v>
      </c>
      <c r="J152" s="119">
        <f>($G152*2)/25</f>
        <v>96</v>
      </c>
      <c r="K152" s="119">
        <f>($G152*2)/30</f>
        <v>80</v>
      </c>
      <c r="L152" s="726">
        <f>($G152*2)/35</f>
        <v>68.571428571428569</v>
      </c>
      <c r="M152" s="119">
        <f>($G152*2)/40</f>
        <v>60</v>
      </c>
      <c r="N152" s="726">
        <f>($G152*2)/45</f>
        <v>53.333333333333336</v>
      </c>
      <c r="O152" s="704"/>
      <c r="P152" s="15"/>
      <c r="Q152" s="15"/>
    </row>
    <row r="153" spans="1:17" ht="15">
      <c r="A153" s="703"/>
      <c r="B153" s="101"/>
      <c r="C153" s="15"/>
      <c r="D153" s="704"/>
      <c r="E153" s="704"/>
      <c r="F153" s="705"/>
      <c r="G153" s="706" t="s">
        <v>122</v>
      </c>
      <c r="H153" s="706">
        <f>H150+H152</f>
        <v>3184.666666666667</v>
      </c>
      <c r="I153" s="706">
        <f t="shared" ref="I153:K153" si="72">I150+I152</f>
        <v>2916.1</v>
      </c>
      <c r="J153" s="706">
        <f t="shared" si="72"/>
        <v>2803.6800000000003</v>
      </c>
      <c r="K153" s="706">
        <f t="shared" si="72"/>
        <v>2728.5333333333333</v>
      </c>
      <c r="L153" s="706">
        <f>L150+L152</f>
        <v>2669.2857142857142</v>
      </c>
      <c r="M153" s="706">
        <f t="shared" ref="M153:N153" si="73">M150+M152</f>
        <v>2627.1</v>
      </c>
      <c r="N153" s="706">
        <f t="shared" si="73"/>
        <v>2620.8000000000002</v>
      </c>
      <c r="O153" s="704"/>
      <c r="P153" s="15"/>
      <c r="Q153" s="15"/>
    </row>
    <row r="154" spans="1:17" ht="15">
      <c r="A154" s="703"/>
      <c r="B154" s="101"/>
      <c r="C154" s="15"/>
      <c r="D154" s="704"/>
      <c r="E154" s="707">
        <v>0.03</v>
      </c>
      <c r="F154" s="705"/>
      <c r="G154" s="119"/>
      <c r="H154" s="708">
        <f t="shared" ref="H154:N154" si="74">H153*$E154</f>
        <v>95.54</v>
      </c>
      <c r="I154" s="708">
        <f t="shared" si="74"/>
        <v>87.48299999999999</v>
      </c>
      <c r="J154" s="708">
        <f t="shared" si="74"/>
        <v>84.110400000000013</v>
      </c>
      <c r="K154" s="708">
        <f t="shared" si="74"/>
        <v>81.855999999999995</v>
      </c>
      <c r="L154" s="708">
        <f t="shared" si="74"/>
        <v>80.078571428571422</v>
      </c>
      <c r="M154" s="708">
        <f t="shared" si="74"/>
        <v>78.812999999999988</v>
      </c>
      <c r="N154" s="708">
        <f t="shared" si="74"/>
        <v>78.624000000000009</v>
      </c>
      <c r="O154" s="704"/>
      <c r="P154" s="15"/>
      <c r="Q154" s="15"/>
    </row>
    <row r="155" spans="1:17" ht="15">
      <c r="A155" s="703"/>
      <c r="B155" s="101"/>
      <c r="C155" s="15"/>
      <c r="D155" s="704"/>
      <c r="E155" s="704"/>
      <c r="F155" s="705"/>
      <c r="G155" s="706"/>
      <c r="O155" s="704"/>
      <c r="P155" s="15"/>
      <c r="Q155" s="15"/>
    </row>
    <row r="156" spans="1:17" ht="15">
      <c r="A156" s="703"/>
      <c r="B156" s="709" t="s">
        <v>50</v>
      </c>
      <c r="C156" s="710" t="s">
        <v>347</v>
      </c>
      <c r="D156" s="710" t="s">
        <v>348</v>
      </c>
      <c r="E156" s="707"/>
      <c r="F156" s="705"/>
      <c r="G156" s="461" t="s">
        <v>225</v>
      </c>
      <c r="H156" s="711" t="str">
        <f>H146</f>
        <v>15-19</v>
      </c>
      <c r="I156" s="711" t="str">
        <f t="shared" ref="I156:N156" si="75">I146</f>
        <v>20-24</v>
      </c>
      <c r="J156" s="711" t="str">
        <f t="shared" si="75"/>
        <v>25-29</v>
      </c>
      <c r="K156" s="711" t="str">
        <f t="shared" si="75"/>
        <v>30-34</v>
      </c>
      <c r="L156" s="711" t="str">
        <f t="shared" si="75"/>
        <v>35-39</v>
      </c>
      <c r="M156" s="711" t="str">
        <f t="shared" si="75"/>
        <v>40-44</v>
      </c>
      <c r="N156" s="711" t="str">
        <f t="shared" si="75"/>
        <v>45+</v>
      </c>
      <c r="O156" s="696" t="s">
        <v>349</v>
      </c>
      <c r="P156" s="40"/>
      <c r="Q156" s="15"/>
    </row>
    <row r="157" spans="1:17" ht="15">
      <c r="A157" s="703" t="s">
        <v>350</v>
      </c>
      <c r="B157" s="713">
        <f>H157</f>
        <v>3280.2066666666669</v>
      </c>
      <c r="C157" s="714"/>
      <c r="D157" s="715">
        <f>B157+C157</f>
        <v>3280.2066666666669</v>
      </c>
      <c r="E157" s="704"/>
      <c r="F157" s="705"/>
      <c r="G157" s="460" t="s">
        <v>122</v>
      </c>
      <c r="H157" s="716">
        <f t="shared" ref="H157:N157" si="76">SUM(H153:H154)</f>
        <v>3280.2066666666669</v>
      </c>
      <c r="I157" s="716">
        <f t="shared" si="76"/>
        <v>3003.5830000000001</v>
      </c>
      <c r="J157" s="716">
        <f t="shared" si="76"/>
        <v>2887.7904000000003</v>
      </c>
      <c r="K157" s="716">
        <f t="shared" si="76"/>
        <v>2810.3893333333335</v>
      </c>
      <c r="L157" s="716">
        <f t="shared" si="76"/>
        <v>2749.3642857142859</v>
      </c>
      <c r="M157" s="716">
        <f t="shared" si="76"/>
        <v>2705.913</v>
      </c>
      <c r="N157" s="716">
        <f t="shared" si="76"/>
        <v>2699.424</v>
      </c>
      <c r="O157" s="716">
        <f>O141</f>
        <v>640</v>
      </c>
    </row>
    <row r="158" spans="1:17">
      <c r="A158" s="382" t="s">
        <v>354</v>
      </c>
      <c r="B158" s="101"/>
      <c r="C158" s="15"/>
      <c r="D158" s="704"/>
      <c r="E158" s="704"/>
      <c r="F158" s="704"/>
      <c r="G158" s="718" t="s">
        <v>352</v>
      </c>
      <c r="H158" s="719">
        <f t="shared" ref="H158:N158" si="77">$C157</f>
        <v>0</v>
      </c>
      <c r="I158" s="719">
        <f t="shared" si="77"/>
        <v>0</v>
      </c>
      <c r="J158" s="719">
        <f t="shared" si="77"/>
        <v>0</v>
      </c>
      <c r="K158" s="719">
        <f t="shared" si="77"/>
        <v>0</v>
      </c>
      <c r="L158" s="719">
        <f t="shared" si="77"/>
        <v>0</v>
      </c>
      <c r="M158" s="719">
        <f t="shared" si="77"/>
        <v>0</v>
      </c>
      <c r="N158" s="719">
        <f t="shared" si="77"/>
        <v>0</v>
      </c>
      <c r="O158" s="719"/>
    </row>
    <row r="159" spans="1:17" ht="15.75">
      <c r="A159" s="720" t="s">
        <v>366</v>
      </c>
      <c r="B159" s="1">
        <v>3100</v>
      </c>
      <c r="C159" s="722"/>
      <c r="D159" s="723"/>
      <c r="E159" s="723"/>
      <c r="F159" s="723"/>
      <c r="G159" s="723"/>
      <c r="H159" s="706">
        <f t="shared" ref="H159:N159" si="78">SUM(H157:H158)</f>
        <v>3280.2066666666669</v>
      </c>
      <c r="I159" s="706">
        <f t="shared" si="78"/>
        <v>3003.5830000000001</v>
      </c>
      <c r="J159" s="724">
        <f t="shared" si="78"/>
        <v>2887.7904000000003</v>
      </c>
      <c r="K159" s="706">
        <f t="shared" si="78"/>
        <v>2810.3893333333335</v>
      </c>
      <c r="L159" s="706">
        <f t="shared" si="78"/>
        <v>2749.3642857142859</v>
      </c>
      <c r="M159" s="706">
        <f t="shared" si="78"/>
        <v>2705.913</v>
      </c>
      <c r="N159" s="706">
        <f t="shared" si="78"/>
        <v>2699.424</v>
      </c>
      <c r="O159" s="706">
        <f>O157</f>
        <v>640</v>
      </c>
    </row>
    <row r="160" spans="1:17">
      <c r="A160" s="1" t="s">
        <v>367</v>
      </c>
      <c r="B160" s="1">
        <v>2000</v>
      </c>
    </row>
  </sheetData>
  <mergeCells count="10">
    <mergeCell ref="D18:E18"/>
    <mergeCell ref="G18:H18"/>
    <mergeCell ref="J18:K18"/>
    <mergeCell ref="M18:N18"/>
    <mergeCell ref="P18:Q18"/>
    <mergeCell ref="X26:AB26"/>
    <mergeCell ref="J1:L1"/>
    <mergeCell ref="J2:L3"/>
    <mergeCell ref="J4:K4"/>
    <mergeCell ref="T8:U8"/>
  </mergeCells>
  <conditionalFormatting sqref="E5:E6 E8:E9">
    <cfRule type="containsText" dxfId="210" priority="25" operator="containsText" text="FB">
      <formula>NOT(ISERROR(SEARCH("FB",E5)))</formula>
    </cfRule>
    <cfRule type="containsText" dxfId="209" priority="26" operator="containsText" text="RO">
      <formula>NOT(ISERROR(SEARCH("RO",E5)))</formula>
    </cfRule>
  </conditionalFormatting>
  <conditionalFormatting sqref="E5:E6 E8:E9">
    <cfRule type="containsText" dxfId="208" priority="24" operator="containsText" text="HB">
      <formula>NOT(ISERROR(SEARCH("HB",E5)))</formula>
    </cfRule>
    <cfRule type="containsText" dxfId="207" priority="27" operator="containsText" text="??">
      <formula>NOT(ISERROR(SEARCH("??",E5)))</formula>
    </cfRule>
  </conditionalFormatting>
  <conditionalFormatting sqref="E8:E9">
    <cfRule type="containsText" dxfId="206" priority="23" operator="containsText" text="BB">
      <formula>NOT(ISERROR(SEARCH("BB",E8)))</formula>
    </cfRule>
  </conditionalFormatting>
  <conditionalFormatting sqref="E5">
    <cfRule type="containsText" dxfId="205" priority="22" operator="containsText" text="BB">
      <formula>NOT(ISERROR(SEARCH("BB",E5)))</formula>
    </cfRule>
  </conditionalFormatting>
  <conditionalFormatting sqref="T9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T12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{83FC8957-D12E-4E17-8555-6E350BCAAB1A}</x14:id>
        </ext>
      </extLst>
    </cfRule>
  </conditionalFormatting>
  <conditionalFormatting sqref="T10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{2F9802FA-1910-4A5C-B968-66381370C09A}</x14:id>
        </ext>
      </extLst>
    </cfRule>
  </conditionalFormatting>
  <conditionalFormatting sqref="T11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{C7ABFB08-EDA5-491D-AACF-DBE33BA604B2}</x14:id>
        </ext>
      </extLst>
    </cfRule>
  </conditionalFormatting>
  <conditionalFormatting sqref="M8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{2D47FA40-8EF3-4D9B-B7DD-62A8FAE9DB96}</x14:id>
        </ext>
      </extLst>
    </cfRule>
  </conditionalFormatting>
  <conditionalFormatting sqref="H85:R85">
    <cfRule type="iconSet" priority="15">
      <iconSet iconSet="5Arrows">
        <cfvo type="percent" val="0"/>
        <cfvo type="num" val="-10"/>
        <cfvo type="num" val="0"/>
        <cfvo type="num" val="1"/>
        <cfvo type="num" val="10"/>
      </iconSet>
    </cfRule>
    <cfRule type="colorScale" priority="16">
      <colorScale>
        <cfvo type="num" val="&quot;&lt;0&quot;"/>
        <cfvo type="percentile" val="0"/>
        <cfvo type="num" val="&quot;0&lt;&quot;"/>
        <color rgb="FFF8696B"/>
        <color rgb="FFFFEB84"/>
        <color rgb="FF63BE7B"/>
      </colorScale>
    </cfRule>
  </conditionalFormatting>
  <conditionalFormatting sqref="AR10">
    <cfRule type="containsText" dxfId="204" priority="12" operator="containsText" text="FB">
      <formula>NOT(ISERROR(SEARCH("FB",AR10)))</formula>
    </cfRule>
    <cfRule type="containsText" dxfId="203" priority="13" operator="containsText" text="RO">
      <formula>NOT(ISERROR(SEARCH("RO",AR10)))</formula>
    </cfRule>
  </conditionalFormatting>
  <conditionalFormatting sqref="AR10">
    <cfRule type="containsText" dxfId="202" priority="11" operator="containsText" text="HB">
      <formula>NOT(ISERROR(SEARCH("HB",AR10)))</formula>
    </cfRule>
    <cfRule type="containsText" dxfId="201" priority="14" operator="containsText" text="??">
      <formula>NOT(ISERROR(SEARCH("??",AR10)))</formula>
    </cfRule>
  </conditionalFormatting>
  <conditionalFormatting sqref="C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{26C88CD4-B8E8-4AD6-B921-5389659A1CAF}</x14:id>
        </ext>
      </extLst>
    </cfRule>
  </conditionalFormatting>
  <conditionalFormatting sqref="M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{F93544FC-4D7C-4B4A-8282-02ABB25D0484}</x14:id>
        </ext>
      </extLst>
    </cfRule>
  </conditionalFormatting>
  <conditionalFormatting sqref="M7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{4FB1878C-5C01-46E5-9C96-26B918507600}</x14:id>
        </ext>
      </extLst>
    </cfRule>
  </conditionalFormatting>
  <conditionalFormatting sqref="M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{E8F775DB-44E1-4004-9581-E5FAF8780B1D}</x14:id>
        </ext>
      </extLst>
    </cfRule>
  </conditionalFormatting>
  <conditionalFormatting sqref="C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{1EDF8770-1AB2-4411-A41D-87F8A5C6F974}</x14:id>
        </ext>
      </extLst>
    </cfRule>
  </conditionalFormatting>
  <conditionalFormatting sqref="E7">
    <cfRule type="containsText" dxfId="200" priority="3" operator="containsText" text="FB">
      <formula>NOT(ISERROR(SEARCH("FB",E7)))</formula>
    </cfRule>
    <cfRule type="containsText" dxfId="199" priority="4" operator="containsText" text="RO">
      <formula>NOT(ISERROR(SEARCH("RO",E7)))</formula>
    </cfRule>
  </conditionalFormatting>
  <conditionalFormatting sqref="E7">
    <cfRule type="containsText" dxfId="198" priority="2" operator="containsText" text="HB">
      <formula>NOT(ISERROR(SEARCH("HB",E7)))</formula>
    </cfRule>
    <cfRule type="containsText" dxfId="197" priority="5" operator="containsText" text="??">
      <formula>NOT(ISERROR(SEARCH("??",E7)))</formula>
    </cfRule>
  </conditionalFormatting>
  <conditionalFormatting sqref="C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{AA059D67-9DE6-433C-A1EC-CFF9896C7ADE}</x14:id>
        </ext>
      </extLst>
    </cfRule>
  </conditionalFormatting>
  <dataValidations count="1">
    <dataValidation type="list" allowBlank="1" showErrorMessage="1" promptTitle="Basis" prompt="Please Select" sqref="E5:E9" xr:uid="{188D774B-EB97-41CB-BD96-82BADCA8DDCC}">
      <formula1>$AJ$5:$AJ$9</formula1>
    </dataValidation>
  </dataValidations>
  <pageMargins left="0.22" right="0.17" top="0.21" bottom="0.33" header="0.17" footer="0.16"/>
  <pageSetup paperSize="9" scale="75" fitToHeight="2" orientation="portrait" verticalDpi="1200" r:id="rId1"/>
  <headerFooter alignWithMargins="0">
    <oddFooter>&amp;L&amp;"Wingdings,Regular"&amp;8 1&amp;"Tahoma,Regular" &amp;F  &amp;"Wingdings,Regular"4&amp;"Tahoma,Regular" &amp;A&amp;C&amp;"Univers,Bold Italic"&amp;8Printed:&amp;"Univers,Medium" &amp;D, &amp;T &amp;R&amp;"Univers (PCL6),Regular"&amp;8Page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C8957-D12E-4E17-8555-6E350BCAAB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T12</xm:sqref>
        </x14:conditionalFormatting>
        <x14:conditionalFormatting xmlns:xm="http://schemas.microsoft.com/office/excel/2006/main">
          <x14:cfRule type="dataBar" id="{2F9802FA-1910-4A5C-B968-66381370C09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T10</xm:sqref>
        </x14:conditionalFormatting>
        <x14:conditionalFormatting xmlns:xm="http://schemas.microsoft.com/office/excel/2006/main">
          <x14:cfRule type="dataBar" id="{C7ABFB08-EDA5-491D-AACF-DBE33BA604B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T11</xm:sqref>
        </x14:conditionalFormatting>
        <x14:conditionalFormatting xmlns:xm="http://schemas.microsoft.com/office/excel/2006/main">
          <x14:cfRule type="dataBar" id="{2D47FA40-8EF3-4D9B-B7DD-62A8FAE9DB9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M8</xm:sqref>
        </x14:conditionalFormatting>
        <x14:conditionalFormatting xmlns:xm="http://schemas.microsoft.com/office/excel/2006/main">
          <x14:cfRule type="dataBar" id="{26C88CD4-B8E8-4AD6-B921-5389659A1C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C6</xm:sqref>
        </x14:conditionalFormatting>
        <x14:conditionalFormatting xmlns:xm="http://schemas.microsoft.com/office/excel/2006/main">
          <x14:cfRule type="dataBar" id="{F93544FC-4D7C-4B4A-8282-02ABB25D048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M6</xm:sqref>
        </x14:conditionalFormatting>
        <x14:conditionalFormatting xmlns:xm="http://schemas.microsoft.com/office/excel/2006/main">
          <x14:cfRule type="dataBar" id="{4FB1878C-5C01-46E5-9C96-26B91850760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M7</xm:sqref>
        </x14:conditionalFormatting>
        <x14:conditionalFormatting xmlns:xm="http://schemas.microsoft.com/office/excel/2006/main">
          <x14:cfRule type="dataBar" id="{E8F775DB-44E1-4004-9581-E5FAF8780B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M5</xm:sqref>
        </x14:conditionalFormatting>
        <x14:conditionalFormatting xmlns:xm="http://schemas.microsoft.com/office/excel/2006/main">
          <x14:cfRule type="dataBar" id="{1EDF8770-1AB2-4411-A41D-87F8A5C6F9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C5</xm:sqref>
        </x14:conditionalFormatting>
        <x14:conditionalFormatting xmlns:xm="http://schemas.microsoft.com/office/excel/2006/main">
          <x14:cfRule type="dataBar" id="{AA059D67-9DE6-433C-A1EC-CFF9896C7A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M52"/>
  <sheetViews>
    <sheetView showGridLines="0" topLeftCell="A13" workbookViewId="0">
      <selection activeCell="B25" sqref="B25"/>
    </sheetView>
  </sheetViews>
  <sheetFormatPr defaultColWidth="8.42578125" defaultRowHeight="12.75"/>
  <cols>
    <col min="1" max="1" width="2.7109375" style="497" customWidth="1"/>
    <col min="2" max="2" width="20.7109375" style="497" customWidth="1"/>
    <col min="3" max="3" width="7.5703125" style="497" customWidth="1"/>
    <col min="4" max="5" width="8.7109375" style="497" customWidth="1"/>
    <col min="6" max="6" width="7.28515625" style="497" customWidth="1"/>
    <col min="7" max="7" width="7.7109375" style="497" customWidth="1"/>
    <col min="8" max="9" width="6.7109375" style="497" customWidth="1"/>
    <col min="10" max="10" width="7.7109375" style="497" customWidth="1"/>
    <col min="11" max="11" width="6.42578125" style="497" customWidth="1"/>
    <col min="12" max="12" width="9.7109375" style="497" customWidth="1"/>
    <col min="13" max="13" width="13.85546875" style="497" customWidth="1"/>
    <col min="14" max="16384" width="8.42578125" style="497"/>
  </cols>
  <sheetData>
    <row r="1" spans="1:13" ht="15">
      <c r="A1" s="496"/>
      <c r="B1" s="496"/>
    </row>
    <row r="2" spans="1:13" ht="18.75">
      <c r="B2" s="628"/>
      <c r="C2" s="498"/>
      <c r="D2" s="499"/>
      <c r="E2" s="500"/>
      <c r="G2" s="629"/>
      <c r="H2" s="501"/>
      <c r="I2" s="501"/>
      <c r="K2" s="502"/>
      <c r="L2" s="503" t="s">
        <v>224</v>
      </c>
      <c r="M2" s="504"/>
    </row>
    <row r="3" spans="1:13" ht="15.75">
      <c r="D3" s="499" t="s">
        <v>219</v>
      </c>
      <c r="E3" s="500" t="s">
        <v>338</v>
      </c>
      <c r="G3" s="505" t="s">
        <v>225</v>
      </c>
      <c r="H3" s="505" t="s">
        <v>226</v>
      </c>
      <c r="I3" s="506" t="s">
        <v>227</v>
      </c>
      <c r="K3" s="502"/>
      <c r="L3" s="503" t="s">
        <v>228</v>
      </c>
      <c r="M3" s="507"/>
    </row>
    <row r="5" spans="1:13" ht="14.1" customHeight="1">
      <c r="A5" s="508"/>
      <c r="B5" s="509" t="s">
        <v>229</v>
      </c>
      <c r="C5" s="509" t="s">
        <v>230</v>
      </c>
      <c r="D5" s="509" t="s">
        <v>231</v>
      </c>
      <c r="E5" s="509" t="s">
        <v>232</v>
      </c>
      <c r="F5" s="509" t="s">
        <v>233</v>
      </c>
      <c r="G5" s="509" t="s">
        <v>234</v>
      </c>
      <c r="H5" s="509"/>
      <c r="I5" s="509" t="s">
        <v>235</v>
      </c>
      <c r="J5" s="510" t="s">
        <v>236</v>
      </c>
      <c r="L5" s="511" t="s">
        <v>237</v>
      </c>
      <c r="M5" s="511" t="s">
        <v>238</v>
      </c>
    </row>
    <row r="6" spans="1:13" ht="15.75">
      <c r="A6" s="512" t="s">
        <v>239</v>
      </c>
      <c r="B6" s="513"/>
      <c r="C6" s="514"/>
      <c r="D6" s="514"/>
      <c r="E6" s="515"/>
      <c r="F6" s="516"/>
      <c r="G6" s="516"/>
      <c r="H6" s="516"/>
      <c r="I6" s="516"/>
      <c r="J6" s="516"/>
      <c r="L6" s="517" t="s">
        <v>240</v>
      </c>
      <c r="M6" s="516"/>
    </row>
    <row r="7" spans="1:13" ht="15.75">
      <c r="A7" s="512" t="s">
        <v>241</v>
      </c>
      <c r="B7" s="513"/>
      <c r="C7" s="514"/>
      <c r="D7" s="514"/>
      <c r="E7" s="515"/>
      <c r="F7" s="516"/>
      <c r="G7" s="516"/>
      <c r="H7" s="516"/>
      <c r="I7" s="516"/>
      <c r="J7" s="516"/>
      <c r="L7" s="517" t="s">
        <v>242</v>
      </c>
      <c r="M7" s="516"/>
    </row>
    <row r="8" spans="1:13" ht="15.75">
      <c r="A8" s="512"/>
      <c r="B8" s="513"/>
      <c r="C8" s="516"/>
      <c r="D8" s="516"/>
      <c r="E8" s="516"/>
      <c r="F8" s="516"/>
      <c r="G8" s="516"/>
      <c r="H8" s="516"/>
      <c r="I8" s="516"/>
      <c r="J8" s="516"/>
      <c r="L8" s="516"/>
      <c r="M8" s="516"/>
    </row>
    <row r="9" spans="1:13" ht="15.75">
      <c r="A9" s="518"/>
      <c r="B9" s="519"/>
      <c r="C9" s="520"/>
      <c r="D9" s="520"/>
      <c r="E9" s="520"/>
      <c r="F9" s="520"/>
      <c r="G9" s="520"/>
      <c r="H9" s="520"/>
      <c r="I9" s="520"/>
      <c r="J9" s="520"/>
      <c r="L9" s="520"/>
      <c r="M9" s="520"/>
    </row>
    <row r="10" spans="1:13" ht="15.75">
      <c r="A10" s="518"/>
      <c r="B10" s="521" t="s">
        <v>243</v>
      </c>
      <c r="C10" s="520"/>
      <c r="D10" s="520"/>
      <c r="E10" s="520"/>
      <c r="F10" s="520"/>
      <c r="G10" s="520"/>
      <c r="H10" s="520"/>
      <c r="I10" s="520"/>
      <c r="J10" s="520"/>
      <c r="L10" s="520"/>
      <c r="M10" s="520"/>
    </row>
    <row r="11" spans="1:13" ht="14.1" customHeight="1">
      <c r="A11" s="508"/>
      <c r="B11" s="509" t="s">
        <v>85</v>
      </c>
      <c r="C11" s="509" t="s">
        <v>230</v>
      </c>
      <c r="D11" s="509" t="s">
        <v>231</v>
      </c>
      <c r="E11" s="509" t="s">
        <v>232</v>
      </c>
      <c r="F11" s="509" t="s">
        <v>244</v>
      </c>
      <c r="G11" s="522" t="s">
        <v>245</v>
      </c>
      <c r="H11" s="523" t="s">
        <v>233</v>
      </c>
      <c r="I11" s="523" t="s">
        <v>246</v>
      </c>
      <c r="J11" s="523" t="s">
        <v>247</v>
      </c>
      <c r="K11" s="523" t="s">
        <v>248</v>
      </c>
      <c r="L11" s="523" t="s">
        <v>249</v>
      </c>
      <c r="M11" s="523" t="s">
        <v>250</v>
      </c>
    </row>
    <row r="12" spans="1:13" ht="16.5">
      <c r="A12" s="512" t="s">
        <v>239</v>
      </c>
      <c r="B12" s="513"/>
      <c r="C12" s="514"/>
      <c r="D12" s="514"/>
      <c r="E12" s="515"/>
      <c r="F12" s="516"/>
      <c r="G12" s="524"/>
      <c r="H12" s="516"/>
      <c r="I12" s="516"/>
      <c r="J12" s="525"/>
      <c r="K12" s="516"/>
      <c r="L12" s="526"/>
      <c r="M12" s="526"/>
    </row>
    <row r="13" spans="1:13" ht="16.5">
      <c r="A13" s="512" t="s">
        <v>241</v>
      </c>
      <c r="B13" s="513"/>
      <c r="C13" s="514"/>
      <c r="D13" s="514"/>
      <c r="E13" s="515"/>
      <c r="F13" s="516"/>
      <c r="G13" s="524"/>
      <c r="H13" s="516"/>
      <c r="I13" s="516"/>
      <c r="J13" s="525"/>
      <c r="K13" s="516"/>
      <c r="L13" s="526"/>
      <c r="M13" s="526"/>
    </row>
    <row r="14" spans="1:13" ht="15.75">
      <c r="A14" s="527"/>
      <c r="B14" s="519"/>
      <c r="C14" s="528"/>
      <c r="D14" s="528"/>
      <c r="E14" s="529"/>
      <c r="F14" s="520"/>
      <c r="G14" s="520"/>
      <c r="H14" s="527"/>
      <c r="I14" s="520"/>
      <c r="J14" s="520"/>
      <c r="L14" s="520"/>
      <c r="M14" s="520"/>
    </row>
    <row r="15" spans="1:13">
      <c r="K15" s="530"/>
    </row>
    <row r="16" spans="1:13" ht="14.25">
      <c r="B16" s="521" t="s">
        <v>251</v>
      </c>
    </row>
    <row r="17" spans="1:13" s="533" customFormat="1" ht="15" customHeight="1">
      <c r="A17" s="508"/>
      <c r="B17" s="531" t="s">
        <v>252</v>
      </c>
      <c r="C17" s="532" t="s">
        <v>253</v>
      </c>
      <c r="D17" s="532" t="s">
        <v>233</v>
      </c>
      <c r="E17" s="532" t="s">
        <v>254</v>
      </c>
      <c r="F17" s="523" t="s">
        <v>0</v>
      </c>
      <c r="G17" s="532" t="s">
        <v>255</v>
      </c>
      <c r="H17" s="532" t="s">
        <v>256</v>
      </c>
      <c r="I17" s="532" t="s">
        <v>257</v>
      </c>
      <c r="J17" s="532" t="s">
        <v>69</v>
      </c>
      <c r="K17" s="523" t="s">
        <v>248</v>
      </c>
      <c r="L17" s="749" t="s">
        <v>308</v>
      </c>
      <c r="M17" s="750"/>
    </row>
    <row r="18" spans="1:13" ht="15.75">
      <c r="A18" s="534">
        <v>2</v>
      </c>
      <c r="B18" s="535"/>
      <c r="C18" s="536"/>
      <c r="D18" s="667"/>
      <c r="E18" s="667"/>
      <c r="F18" s="538"/>
      <c r="G18" s="539"/>
      <c r="H18" s="539"/>
      <c r="I18" s="539"/>
      <c r="J18" s="540"/>
      <c r="K18" s="541"/>
      <c r="L18" s="666"/>
      <c r="M18" s="543"/>
    </row>
    <row r="19" spans="1:13" ht="15.75">
      <c r="A19" s="534">
        <v>2</v>
      </c>
      <c r="B19" s="535"/>
      <c r="C19" s="536"/>
      <c r="D19" s="667"/>
      <c r="E19" s="667"/>
      <c r="F19" s="538"/>
      <c r="G19" s="539"/>
      <c r="H19" s="539"/>
      <c r="I19" s="539"/>
      <c r="J19" s="540"/>
      <c r="K19" s="541"/>
      <c r="L19" s="666"/>
      <c r="M19" s="543"/>
    </row>
    <row r="20" spans="1:13" ht="15.75">
      <c r="A20" s="534">
        <v>4</v>
      </c>
      <c r="B20" s="544"/>
      <c r="C20" s="536"/>
      <c r="D20" s="537"/>
      <c r="E20" s="537"/>
      <c r="F20" s="538"/>
      <c r="G20" s="539"/>
      <c r="H20" s="539"/>
      <c r="I20" s="539"/>
      <c r="J20" s="545"/>
      <c r="K20" s="541"/>
      <c r="L20" s="542"/>
      <c r="M20" s="543"/>
    </row>
    <row r="21" spans="1:13" ht="15.75">
      <c r="A21" s="534">
        <v>5</v>
      </c>
      <c r="B21" s="544"/>
      <c r="C21" s="536"/>
      <c r="D21" s="537"/>
      <c r="E21" s="537"/>
      <c r="F21" s="538"/>
      <c r="G21" s="544"/>
      <c r="H21" s="539"/>
      <c r="I21" s="539"/>
      <c r="J21" s="540"/>
      <c r="K21" s="541"/>
      <c r="L21" s="542"/>
      <c r="M21" s="543"/>
    </row>
    <row r="22" spans="1:13" ht="15.75">
      <c r="A22" s="534">
        <v>6</v>
      </c>
      <c r="B22" s="535"/>
      <c r="C22" s="536"/>
      <c r="D22" s="537"/>
      <c r="E22" s="537"/>
      <c r="F22" s="538"/>
      <c r="G22" s="544"/>
      <c r="H22" s="539"/>
      <c r="I22" s="539"/>
      <c r="J22" s="540"/>
      <c r="K22" s="541"/>
      <c r="L22" s="542"/>
      <c r="M22" s="543"/>
    </row>
    <row r="23" spans="1:13" ht="15.75">
      <c r="A23" s="544"/>
      <c r="B23" s="544"/>
      <c r="C23" s="536"/>
      <c r="D23" s="544"/>
      <c r="E23" s="544"/>
      <c r="F23" s="544"/>
      <c r="G23" s="544"/>
      <c r="H23" s="544"/>
      <c r="I23" s="544"/>
      <c r="J23" s="544"/>
      <c r="K23" s="544"/>
      <c r="L23" s="546"/>
      <c r="M23" s="547"/>
    </row>
    <row r="25" spans="1:13">
      <c r="A25" s="668"/>
      <c r="B25" s="668"/>
    </row>
    <row r="26" spans="1:13" ht="15.75">
      <c r="A26" s="548">
        <v>1</v>
      </c>
      <c r="B26" s="549"/>
      <c r="C26" s="550"/>
      <c r="D26" s="551" t="s">
        <v>313</v>
      </c>
      <c r="E26" s="552"/>
      <c r="F26" s="550"/>
      <c r="G26" s="553" t="s">
        <v>259</v>
      </c>
      <c r="I26" s="554" t="s">
        <v>260</v>
      </c>
      <c r="J26" s="555"/>
      <c r="K26" s="550"/>
      <c r="L26" s="550"/>
      <c r="M26" s="556"/>
    </row>
    <row r="28" spans="1:13" ht="15.75">
      <c r="A28" s="548">
        <v>2</v>
      </c>
      <c r="B28" s="549" t="s">
        <v>312</v>
      </c>
      <c r="C28" s="550"/>
      <c r="D28" s="551" t="s">
        <v>314</v>
      </c>
      <c r="E28" s="552"/>
      <c r="F28" s="550"/>
      <c r="G28" s="553"/>
      <c r="I28" s="554" t="s">
        <v>260</v>
      </c>
      <c r="J28" s="555"/>
      <c r="K28" s="550"/>
      <c r="L28" s="550"/>
      <c r="M28" s="556"/>
    </row>
    <row r="31" spans="1:13" ht="14.25">
      <c r="B31" s="521" t="s">
        <v>261</v>
      </c>
      <c r="J31" s="521" t="s">
        <v>262</v>
      </c>
    </row>
    <row r="32" spans="1:13" ht="16.5">
      <c r="A32" s="508"/>
      <c r="B32" s="531" t="s">
        <v>85</v>
      </c>
      <c r="C32" s="532" t="s">
        <v>263</v>
      </c>
      <c r="D32" s="523" t="s">
        <v>248</v>
      </c>
      <c r="E32" s="557"/>
      <c r="F32" s="558" t="s">
        <v>264</v>
      </c>
      <c r="G32" s="558"/>
      <c r="H32" s="559"/>
      <c r="J32" s="532" t="s">
        <v>70</v>
      </c>
      <c r="K32" s="532" t="s">
        <v>265</v>
      </c>
      <c r="L32" s="532" t="s">
        <v>233</v>
      </c>
      <c r="M32" s="532" t="s">
        <v>254</v>
      </c>
    </row>
    <row r="33" spans="1:13" ht="18" customHeight="1">
      <c r="A33" s="534">
        <v>1</v>
      </c>
      <c r="B33" s="560"/>
      <c r="C33" s="561"/>
      <c r="D33" s="562"/>
      <c r="E33" s="563"/>
      <c r="F33" s="564"/>
      <c r="G33" s="564"/>
      <c r="H33" s="564"/>
      <c r="J33" s="630"/>
      <c r="K33" s="631"/>
      <c r="L33" s="632"/>
      <c r="M33" s="633"/>
    </row>
    <row r="34" spans="1:13" ht="18" customHeight="1">
      <c r="A34" s="534">
        <f t="shared" ref="A34:A47" si="0">A33+1</f>
        <v>2</v>
      </c>
      <c r="B34" s="560"/>
      <c r="C34" s="561"/>
      <c r="D34" s="562"/>
      <c r="E34" s="565"/>
      <c r="F34" s="566"/>
      <c r="G34" s="566"/>
      <c r="H34" s="566"/>
      <c r="J34" s="630"/>
      <c r="K34" s="631"/>
      <c r="L34" s="632"/>
      <c r="M34" s="633"/>
    </row>
    <row r="35" spans="1:13" ht="18" customHeight="1">
      <c r="A35" s="534">
        <f t="shared" si="0"/>
        <v>3</v>
      </c>
      <c r="B35" s="560"/>
      <c r="C35" s="561"/>
      <c r="D35" s="562"/>
      <c r="E35" s="565"/>
      <c r="F35" s="566"/>
      <c r="G35" s="566"/>
      <c r="H35" s="566"/>
    </row>
    <row r="36" spans="1:13" ht="18" customHeight="1">
      <c r="A36" s="534">
        <f t="shared" si="0"/>
        <v>4</v>
      </c>
      <c r="B36" s="560"/>
      <c r="C36" s="561"/>
      <c r="D36" s="562"/>
      <c r="E36" s="565"/>
      <c r="F36" s="566"/>
      <c r="G36" s="566"/>
      <c r="H36" s="566"/>
      <c r="J36" s="500" t="s">
        <v>307</v>
      </c>
      <c r="L36" s="635"/>
      <c r="M36" s="636">
        <v>42736</v>
      </c>
    </row>
    <row r="37" spans="1:13" ht="18" customHeight="1">
      <c r="A37" s="534">
        <f t="shared" si="0"/>
        <v>5</v>
      </c>
      <c r="B37" s="560"/>
      <c r="C37" s="561"/>
      <c r="D37" s="562"/>
      <c r="E37" s="565"/>
      <c r="F37" s="566"/>
      <c r="G37" s="566"/>
      <c r="H37" s="566"/>
      <c r="L37" s="634" t="s">
        <v>306</v>
      </c>
      <c r="M37" s="634" t="s">
        <v>85</v>
      </c>
    </row>
    <row r="38" spans="1:13" ht="18" customHeight="1">
      <c r="A38" s="534">
        <f t="shared" si="0"/>
        <v>6</v>
      </c>
      <c r="B38" s="560"/>
      <c r="C38" s="561"/>
      <c r="D38" s="562"/>
      <c r="E38" s="565"/>
      <c r="F38" s="566"/>
      <c r="G38" s="566"/>
      <c r="H38" s="566"/>
      <c r="J38" s="500" t="s">
        <v>309</v>
      </c>
      <c r="M38" s="636">
        <v>36892</v>
      </c>
    </row>
    <row r="39" spans="1:13" ht="18" customHeight="1">
      <c r="A39" s="534">
        <f t="shared" si="0"/>
        <v>7</v>
      </c>
      <c r="B39" s="560"/>
      <c r="C39" s="561"/>
      <c r="D39" s="562"/>
      <c r="E39" s="565"/>
      <c r="F39" s="566"/>
      <c r="G39" s="566"/>
      <c r="H39" s="566"/>
    </row>
    <row r="40" spans="1:13" ht="18" customHeight="1">
      <c r="A40" s="534">
        <f t="shared" si="0"/>
        <v>8</v>
      </c>
      <c r="B40" s="560"/>
      <c r="C40" s="561"/>
      <c r="D40" s="562"/>
      <c r="E40" s="565"/>
      <c r="F40" s="566"/>
      <c r="G40" s="566"/>
      <c r="H40" s="566"/>
      <c r="J40" s="500" t="s">
        <v>310</v>
      </c>
      <c r="M40" s="636">
        <v>36892</v>
      </c>
    </row>
    <row r="41" spans="1:13" ht="18" customHeight="1">
      <c r="A41" s="534">
        <f t="shared" si="0"/>
        <v>9</v>
      </c>
      <c r="B41" s="560"/>
      <c r="C41" s="561"/>
      <c r="D41" s="562"/>
      <c r="E41" s="565"/>
      <c r="F41" s="566"/>
      <c r="G41" s="566"/>
      <c r="H41" s="566"/>
    </row>
    <row r="42" spans="1:13" ht="18" customHeight="1">
      <c r="A42" s="534">
        <f t="shared" si="0"/>
        <v>10</v>
      </c>
      <c r="B42" s="560"/>
      <c r="C42" s="561"/>
      <c r="D42" s="562"/>
      <c r="E42" s="565"/>
      <c r="F42" s="566"/>
      <c r="G42" s="566"/>
      <c r="H42" s="566"/>
    </row>
    <row r="43" spans="1:13" ht="18" customHeight="1">
      <c r="A43" s="534">
        <f t="shared" si="0"/>
        <v>11</v>
      </c>
      <c r="B43" s="560"/>
      <c r="C43" s="561"/>
      <c r="D43" s="562"/>
      <c r="E43" s="567"/>
      <c r="F43" s="566"/>
      <c r="G43" s="566"/>
      <c r="H43" s="566"/>
    </row>
    <row r="44" spans="1:13" ht="18" customHeight="1">
      <c r="A44" s="534">
        <f t="shared" si="0"/>
        <v>12</v>
      </c>
      <c r="B44" s="560"/>
      <c r="C44" s="561"/>
      <c r="D44" s="562"/>
      <c r="E44" s="565"/>
      <c r="F44" s="566"/>
      <c r="G44" s="566"/>
      <c r="H44" s="566"/>
    </row>
    <row r="45" spans="1:13" ht="18" customHeight="1">
      <c r="A45" s="534">
        <f t="shared" si="0"/>
        <v>13</v>
      </c>
      <c r="B45" s="560"/>
      <c r="C45" s="561"/>
      <c r="D45" s="562"/>
      <c r="E45" s="565"/>
      <c r="F45" s="566"/>
      <c r="G45" s="566"/>
      <c r="H45" s="566"/>
    </row>
    <row r="46" spans="1:13" ht="18" customHeight="1">
      <c r="A46" s="534">
        <f t="shared" si="0"/>
        <v>14</v>
      </c>
      <c r="B46" s="560"/>
      <c r="C46" s="561"/>
      <c r="D46" s="562"/>
      <c r="E46" s="565"/>
      <c r="F46" s="566"/>
      <c r="G46" s="566"/>
      <c r="H46" s="566"/>
    </row>
    <row r="47" spans="1:13" ht="18" customHeight="1">
      <c r="A47" s="534">
        <f t="shared" si="0"/>
        <v>15</v>
      </c>
      <c r="B47" s="560"/>
      <c r="C47" s="561"/>
      <c r="D47" s="562"/>
      <c r="E47" s="565"/>
      <c r="F47" s="566"/>
      <c r="G47" s="566"/>
      <c r="H47" s="566"/>
    </row>
    <row r="50" spans="1:13" ht="14.25">
      <c r="A50" s="521" t="s">
        <v>311</v>
      </c>
      <c r="B50" s="521"/>
    </row>
    <row r="51" spans="1:13" ht="15.75">
      <c r="A51" s="637"/>
      <c r="B51" s="637"/>
      <c r="C51" s="566"/>
      <c r="D51" s="566"/>
      <c r="E51" s="566"/>
      <c r="F51" s="566"/>
      <c r="G51" s="566"/>
      <c r="H51" s="566"/>
      <c r="I51" s="566"/>
      <c r="J51" s="566"/>
      <c r="K51" s="566"/>
      <c r="L51" s="566"/>
      <c r="M51" s="566"/>
    </row>
    <row r="52" spans="1:13" ht="15.75">
      <c r="A52" s="637"/>
      <c r="B52" s="637"/>
      <c r="C52" s="566"/>
      <c r="D52" s="566"/>
      <c r="E52" s="566"/>
      <c r="F52" s="566"/>
      <c r="G52" s="566"/>
      <c r="H52" s="566"/>
      <c r="I52" s="566"/>
      <c r="J52" s="566"/>
      <c r="K52" s="566"/>
      <c r="L52" s="566"/>
      <c r="M52" s="566"/>
    </row>
  </sheetData>
  <mergeCells count="1">
    <mergeCell ref="L17:M17"/>
  </mergeCells>
  <pageMargins left="0.47" right="0.17" top="0.3" bottom="0.52" header="0.17" footer="0.16"/>
  <pageSetup paperSize="9" scale="96" orientation="portrait" horizontalDpi="1200" verticalDpi="1200" r:id="rId1"/>
  <headerFooter alignWithMargins="0">
    <oddFooter xml:space="preserve">&amp;L&amp;"Wingdings,Regular"&amp;8 1&amp;"Tahoma,Regular" &amp;F  &amp;"Wingdings,Regular"4&amp;"Tahoma,Regular" &amp;A&amp;R&amp;"Univers (PCL6),Bold"Page &amp;P of &amp;N&amp;"Univers (PCL6),Regular"&amp;8
&amp;"Univers (PCL6),Italic"Printed: &amp;D, &amp;T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49"/>
  <sheetViews>
    <sheetView showGridLines="0" topLeftCell="A11" workbookViewId="0">
      <selection activeCell="D16" sqref="D16"/>
    </sheetView>
  </sheetViews>
  <sheetFormatPr defaultColWidth="9.5703125" defaultRowHeight="12"/>
  <cols>
    <col min="1" max="1" width="4.5703125" customWidth="1"/>
    <col min="2" max="2" width="8.5703125" customWidth="1"/>
    <col min="3" max="3" width="5.5703125" customWidth="1"/>
    <col min="4" max="4" width="28.7109375" customWidth="1"/>
    <col min="5" max="5" width="8.5703125" customWidth="1"/>
    <col min="6" max="6" width="28.7109375" customWidth="1"/>
    <col min="7" max="7" width="10.7109375" customWidth="1"/>
    <col min="8" max="8" width="6.7109375" customWidth="1"/>
    <col min="9" max="9" width="9.42578125" customWidth="1"/>
    <col min="10" max="10" width="2.7109375" style="212" customWidth="1"/>
    <col min="11" max="12" width="2.7109375" customWidth="1"/>
  </cols>
  <sheetData>
    <row r="1" spans="1:17" ht="21" customHeight="1">
      <c r="A1" s="479" t="s">
        <v>332</v>
      </c>
      <c r="B1" s="211"/>
      <c r="C1" s="211"/>
      <c r="F1" s="572"/>
      <c r="G1" s="573"/>
      <c r="H1" s="585" t="s">
        <v>326</v>
      </c>
      <c r="I1" s="584" t="s">
        <v>335</v>
      </c>
    </row>
    <row r="2" spans="1:17" ht="19.899999999999999" customHeight="1">
      <c r="A2" s="620" t="s">
        <v>83</v>
      </c>
      <c r="B2" s="211"/>
      <c r="C2" s="211"/>
      <c r="D2" s="480" t="s">
        <v>337</v>
      </c>
      <c r="F2" s="213">
        <v>43121</v>
      </c>
      <c r="G2" s="621" t="s">
        <v>331</v>
      </c>
      <c r="I2" s="597" t="s">
        <v>292</v>
      </c>
    </row>
    <row r="4" spans="1:17" s="212" customFormat="1" ht="12.75">
      <c r="A4" s="214" t="s">
        <v>84</v>
      </c>
      <c r="B4" s="214" t="s">
        <v>85</v>
      </c>
      <c r="C4" s="214" t="s">
        <v>86</v>
      </c>
      <c r="D4" s="214" t="s">
        <v>87</v>
      </c>
      <c r="E4" s="214" t="s">
        <v>88</v>
      </c>
      <c r="F4" s="214" t="s">
        <v>89</v>
      </c>
      <c r="G4" s="214" t="s">
        <v>90</v>
      </c>
      <c r="H4" s="214" t="s">
        <v>91</v>
      </c>
      <c r="I4" s="214" t="s">
        <v>92</v>
      </c>
      <c r="J4" s="215" t="s">
        <v>53</v>
      </c>
      <c r="K4" s="215" t="s">
        <v>93</v>
      </c>
      <c r="L4" s="215" t="s">
        <v>94</v>
      </c>
    </row>
    <row r="5" spans="1:17" ht="18" customHeight="1">
      <c r="A5" s="216"/>
      <c r="B5" s="586">
        <f>B6</f>
        <v>43582</v>
      </c>
      <c r="C5" s="217"/>
      <c r="D5" s="218"/>
      <c r="E5" s="217"/>
      <c r="F5" s="218"/>
      <c r="G5" s="219"/>
      <c r="H5" s="220"/>
      <c r="I5" s="219"/>
      <c r="J5" s="221"/>
    </row>
    <row r="6" spans="1:17" ht="27.95" customHeight="1">
      <c r="A6" s="238">
        <v>0</v>
      </c>
      <c r="B6" s="239">
        <v>43582</v>
      </c>
      <c r="C6" s="240">
        <f t="shared" ref="C6:C14" si="0">B6</f>
        <v>43582</v>
      </c>
      <c r="D6" s="225"/>
      <c r="E6" s="226"/>
      <c r="F6" s="225"/>
      <c r="G6" s="663" t="s">
        <v>327</v>
      </c>
      <c r="H6" s="227"/>
      <c r="I6" s="228"/>
      <c r="J6" s="229"/>
      <c r="K6" s="229"/>
      <c r="L6" s="229"/>
      <c r="P6" s="230"/>
    </row>
    <row r="7" spans="1:17" ht="52.15" customHeight="1">
      <c r="A7" s="222">
        <f>A6+1</f>
        <v>1</v>
      </c>
      <c r="B7" s="223">
        <f t="shared" ref="B7:B19" si="1">B6+1</f>
        <v>43583</v>
      </c>
      <c r="C7" s="224">
        <f t="shared" si="0"/>
        <v>43583</v>
      </c>
      <c r="D7" s="231"/>
      <c r="E7" s="226"/>
      <c r="F7" s="231" t="s">
        <v>329</v>
      </c>
      <c r="G7" s="232"/>
      <c r="H7" s="236" t="s">
        <v>45</v>
      </c>
      <c r="I7" s="233"/>
      <c r="J7" s="229">
        <v>1</v>
      </c>
      <c r="K7" s="229">
        <v>1</v>
      </c>
      <c r="L7" s="229"/>
    </row>
    <row r="8" spans="1:17" ht="52.15" customHeight="1">
      <c r="A8" s="222">
        <f t="shared" ref="A8:A19" si="2">A7+1</f>
        <v>2</v>
      </c>
      <c r="B8" s="223">
        <f t="shared" si="1"/>
        <v>43584</v>
      </c>
      <c r="C8" s="224">
        <f t="shared" si="0"/>
        <v>43584</v>
      </c>
      <c r="D8" s="234" t="s">
        <v>290</v>
      </c>
      <c r="E8" s="226"/>
      <c r="F8" s="225"/>
      <c r="G8" s="232"/>
      <c r="H8" s="236" t="s">
        <v>45</v>
      </c>
      <c r="I8" s="233"/>
      <c r="J8" s="229">
        <v>1</v>
      </c>
      <c r="K8" s="229">
        <v>1</v>
      </c>
      <c r="L8" s="229">
        <v>1</v>
      </c>
      <c r="Q8" s="234" t="s">
        <v>95</v>
      </c>
    </row>
    <row r="9" spans="1:17" ht="52.15" customHeight="1">
      <c r="A9" s="222">
        <f t="shared" si="2"/>
        <v>3</v>
      </c>
      <c r="B9" s="223">
        <f t="shared" si="1"/>
        <v>43585</v>
      </c>
      <c r="C9" s="224">
        <f t="shared" si="0"/>
        <v>43585</v>
      </c>
      <c r="D9" s="234" t="s">
        <v>290</v>
      </c>
      <c r="E9" s="226"/>
      <c r="F9" s="225"/>
      <c r="G9" s="232"/>
      <c r="H9" s="236" t="s">
        <v>45</v>
      </c>
      <c r="I9" s="233"/>
      <c r="J9" s="229">
        <v>1</v>
      </c>
      <c r="K9" s="229">
        <v>1</v>
      </c>
      <c r="L9" s="229">
        <v>1</v>
      </c>
    </row>
    <row r="10" spans="1:17" ht="52.15" customHeight="1">
      <c r="A10" s="222">
        <f t="shared" si="2"/>
        <v>4</v>
      </c>
      <c r="B10" s="223">
        <f t="shared" si="1"/>
        <v>43586</v>
      </c>
      <c r="C10" s="224">
        <f t="shared" si="0"/>
        <v>43586</v>
      </c>
      <c r="D10" s="234" t="s">
        <v>290</v>
      </c>
      <c r="E10" s="242"/>
      <c r="F10" s="264"/>
      <c r="G10" s="232"/>
      <c r="H10" s="236" t="s">
        <v>45</v>
      </c>
      <c r="I10" s="233"/>
      <c r="J10" s="229">
        <v>1</v>
      </c>
      <c r="K10" s="229">
        <v>1</v>
      </c>
      <c r="L10" s="229">
        <v>1</v>
      </c>
    </row>
    <row r="11" spans="1:17" ht="52.15" customHeight="1">
      <c r="A11" s="222">
        <f t="shared" si="2"/>
        <v>5</v>
      </c>
      <c r="B11" s="223">
        <f t="shared" si="1"/>
        <v>43587</v>
      </c>
      <c r="C11" s="224">
        <f t="shared" si="0"/>
        <v>43587</v>
      </c>
      <c r="D11" s="234" t="s">
        <v>290</v>
      </c>
      <c r="E11" s="242"/>
      <c r="F11" s="241"/>
      <c r="G11" s="327"/>
      <c r="H11" s="236" t="s">
        <v>45</v>
      </c>
      <c r="I11" s="233"/>
      <c r="J11" s="229">
        <v>1</v>
      </c>
      <c r="K11" s="229">
        <v>1</v>
      </c>
      <c r="L11" s="229">
        <v>1</v>
      </c>
    </row>
    <row r="12" spans="1:17" ht="52.15" customHeight="1">
      <c r="A12" s="222">
        <f t="shared" si="2"/>
        <v>6</v>
      </c>
      <c r="B12" s="223">
        <f t="shared" si="1"/>
        <v>43588</v>
      </c>
      <c r="C12" s="224">
        <f t="shared" si="0"/>
        <v>43588</v>
      </c>
      <c r="D12" s="234" t="s">
        <v>328</v>
      </c>
      <c r="E12" s="242"/>
      <c r="F12" s="225"/>
      <c r="G12" s="232"/>
      <c r="H12" s="236" t="s">
        <v>102</v>
      </c>
      <c r="I12" s="233"/>
      <c r="J12" s="229">
        <v>1</v>
      </c>
      <c r="K12" s="229">
        <v>1</v>
      </c>
      <c r="L12" s="229">
        <v>1</v>
      </c>
      <c r="P12" s="242"/>
    </row>
    <row r="13" spans="1:17" ht="52.15" customHeight="1">
      <c r="A13" s="238">
        <f t="shared" si="2"/>
        <v>7</v>
      </c>
      <c r="B13" s="239">
        <f t="shared" si="1"/>
        <v>43589</v>
      </c>
      <c r="C13" s="240">
        <f t="shared" si="0"/>
        <v>43589</v>
      </c>
      <c r="D13" s="234" t="s">
        <v>328</v>
      </c>
      <c r="E13" s="242"/>
      <c r="F13" s="225"/>
      <c r="G13" s="232"/>
      <c r="H13" s="236" t="s">
        <v>102</v>
      </c>
      <c r="I13" s="233"/>
      <c r="J13" s="229">
        <v>1</v>
      </c>
      <c r="K13" s="229">
        <v>1</v>
      </c>
      <c r="L13" s="229">
        <v>1</v>
      </c>
    </row>
    <row r="14" spans="1:17" ht="52.15" customHeight="1">
      <c r="A14" s="222">
        <f t="shared" si="2"/>
        <v>8</v>
      </c>
      <c r="B14" s="223">
        <f t="shared" si="1"/>
        <v>43590</v>
      </c>
      <c r="C14" s="224">
        <f t="shared" si="0"/>
        <v>43590</v>
      </c>
      <c r="D14" s="234" t="s">
        <v>328</v>
      </c>
      <c r="E14" s="265"/>
      <c r="F14" s="264"/>
      <c r="G14" s="232"/>
      <c r="H14" s="236" t="s">
        <v>102</v>
      </c>
      <c r="I14" s="237"/>
      <c r="J14" s="229">
        <v>1</v>
      </c>
      <c r="K14" s="229">
        <v>1</v>
      </c>
      <c r="L14" s="229">
        <v>1</v>
      </c>
    </row>
    <row r="15" spans="1:17" ht="52.15" customHeight="1">
      <c r="A15" s="222">
        <f t="shared" si="2"/>
        <v>9</v>
      </c>
      <c r="B15" s="223">
        <f t="shared" si="1"/>
        <v>43591</v>
      </c>
      <c r="C15" s="224">
        <f t="shared" ref="C15" si="3">B15</f>
        <v>43591</v>
      </c>
      <c r="D15" s="234" t="s">
        <v>328</v>
      </c>
      <c r="E15" s="235"/>
      <c r="F15" s="225"/>
      <c r="G15" s="232"/>
      <c r="H15" s="236" t="s">
        <v>102</v>
      </c>
      <c r="I15" s="237"/>
      <c r="J15" s="229">
        <v>1</v>
      </c>
      <c r="K15" s="229">
        <v>1</v>
      </c>
      <c r="L15" s="229">
        <v>1</v>
      </c>
    </row>
    <row r="16" spans="1:17" ht="52.15" customHeight="1">
      <c r="A16" s="222">
        <f t="shared" si="2"/>
        <v>10</v>
      </c>
      <c r="B16" s="223">
        <f t="shared" si="1"/>
        <v>43592</v>
      </c>
      <c r="C16" s="224">
        <f t="shared" ref="C16:C19" si="4">B16</f>
        <v>43592</v>
      </c>
      <c r="D16" s="234" t="s">
        <v>328</v>
      </c>
      <c r="E16" s="242"/>
      <c r="F16" s="243"/>
      <c r="G16" s="232"/>
      <c r="H16" s="236" t="s">
        <v>102</v>
      </c>
      <c r="I16" s="233"/>
      <c r="J16" s="229">
        <v>1</v>
      </c>
      <c r="K16" s="229">
        <v>1</v>
      </c>
      <c r="L16" s="229">
        <v>1</v>
      </c>
    </row>
    <row r="17" spans="1:16" ht="52.15" customHeight="1">
      <c r="A17" s="222">
        <f t="shared" si="2"/>
        <v>11</v>
      </c>
      <c r="B17" s="223">
        <f t="shared" si="1"/>
        <v>43593</v>
      </c>
      <c r="C17" s="224">
        <f t="shared" si="4"/>
        <v>43593</v>
      </c>
      <c r="D17" s="234" t="s">
        <v>291</v>
      </c>
      <c r="E17" s="242"/>
      <c r="F17" s="244"/>
      <c r="G17" s="232"/>
      <c r="H17" s="236" t="s">
        <v>102</v>
      </c>
      <c r="I17" s="233"/>
      <c r="J17" s="229">
        <v>1</v>
      </c>
      <c r="K17" s="229">
        <v>1</v>
      </c>
      <c r="L17" s="229">
        <v>1</v>
      </c>
    </row>
    <row r="18" spans="1:16" ht="52.15" customHeight="1">
      <c r="A18" s="222">
        <f t="shared" si="2"/>
        <v>12</v>
      </c>
      <c r="B18" s="223">
        <f t="shared" si="1"/>
        <v>43594</v>
      </c>
      <c r="C18" s="224">
        <f t="shared" si="4"/>
        <v>43594</v>
      </c>
      <c r="D18" s="574"/>
      <c r="E18" s="235" t="s">
        <v>98</v>
      </c>
      <c r="F18" s="244"/>
      <c r="G18" s="232"/>
      <c r="H18" s="236" t="s">
        <v>102</v>
      </c>
      <c r="I18" s="233"/>
      <c r="J18" s="664"/>
      <c r="K18" s="664"/>
      <c r="L18" s="664"/>
    </row>
    <row r="19" spans="1:16" ht="52.15" customHeight="1">
      <c r="A19" s="222">
        <f t="shared" si="2"/>
        <v>13</v>
      </c>
      <c r="B19" s="223">
        <f t="shared" si="1"/>
        <v>43595</v>
      </c>
      <c r="C19" s="224">
        <f t="shared" si="4"/>
        <v>43595</v>
      </c>
      <c r="D19" s="574" t="s">
        <v>330</v>
      </c>
      <c r="E19" s="235"/>
      <c r="F19" s="225"/>
      <c r="G19" s="232"/>
      <c r="H19" s="236"/>
      <c r="I19" s="233"/>
      <c r="J19" s="245" t="s">
        <v>96</v>
      </c>
      <c r="K19" s="245" t="s">
        <v>96</v>
      </c>
      <c r="L19" s="229"/>
      <c r="P19" s="242"/>
    </row>
    <row r="20" spans="1:16" ht="52.15" customHeight="1">
      <c r="A20" s="222">
        <f t="shared" ref="A20" si="5">A19+1</f>
        <v>14</v>
      </c>
      <c r="B20" s="223"/>
      <c r="C20" s="224"/>
      <c r="D20" s="574"/>
      <c r="E20" s="235"/>
      <c r="F20" s="598"/>
      <c r="G20" s="622" t="s">
        <v>293</v>
      </c>
      <c r="H20" s="599"/>
      <c r="I20" s="600"/>
      <c r="J20" s="245"/>
      <c r="K20" s="245"/>
      <c r="L20" s="229"/>
    </row>
    <row r="21" spans="1:16" ht="18" customHeight="1">
      <c r="A21" s="222"/>
      <c r="B21" s="246"/>
      <c r="C21" s="224"/>
      <c r="D21" s="247"/>
      <c r="E21" s="248"/>
      <c r="F21" s="249"/>
      <c r="G21" s="250"/>
      <c r="H21" s="251"/>
      <c r="I21" s="250"/>
      <c r="J21" s="601" t="s">
        <v>96</v>
      </c>
      <c r="K21" s="601" t="s">
        <v>96</v>
      </c>
    </row>
    <row r="22" spans="1:16" ht="15" customHeight="1" thickBot="1">
      <c r="A22" s="252"/>
      <c r="B22" s="253"/>
      <c r="C22" s="254"/>
      <c r="D22" s="255"/>
      <c r="E22" s="226"/>
      <c r="F22" s="255"/>
      <c r="G22" s="256"/>
      <c r="H22" s="257"/>
      <c r="I22" s="252"/>
      <c r="J22" s="258">
        <f>SUM(J5:J21)</f>
        <v>11</v>
      </c>
      <c r="K22" s="258">
        <f>SUM(K5:K21)</f>
        <v>11</v>
      </c>
      <c r="L22" s="258">
        <f>SUM(L5:L21)</f>
        <v>10</v>
      </c>
      <c r="M22" s="259"/>
    </row>
    <row r="23" spans="1:16" ht="15" customHeight="1">
      <c r="A23" s="260"/>
      <c r="B23" s="261"/>
      <c r="C23" s="262"/>
      <c r="D23" s="262"/>
      <c r="E23" s="262"/>
      <c r="F23" s="262"/>
      <c r="G23" s="259"/>
      <c r="H23" s="261"/>
      <c r="I23" s="260"/>
      <c r="J23" s="263"/>
      <c r="K23" s="259"/>
      <c r="L23" s="259"/>
      <c r="M23" s="259"/>
    </row>
    <row r="24" spans="1:16" ht="15" customHeight="1">
      <c r="A24" s="425" t="s">
        <v>84</v>
      </c>
      <c r="B24" s="751" t="s">
        <v>267</v>
      </c>
      <c r="C24" s="751"/>
      <c r="D24" s="425" t="s">
        <v>266</v>
      </c>
      <c r="E24" s="259"/>
      <c r="F24" s="752" t="s">
        <v>258</v>
      </c>
      <c r="G24" s="753"/>
      <c r="H24" s="753"/>
      <c r="I24" s="754"/>
      <c r="J24" s="263"/>
      <c r="K24" s="259"/>
      <c r="L24" s="259"/>
      <c r="M24" s="259"/>
    </row>
    <row r="25" spans="1:16" ht="15" customHeight="1">
      <c r="A25" s="421"/>
      <c r="B25" s="422"/>
      <c r="C25" s="423"/>
      <c r="D25" s="424"/>
      <c r="E25" s="262"/>
      <c r="F25" s="755"/>
      <c r="G25" s="756"/>
      <c r="H25" s="756"/>
      <c r="I25" s="757"/>
      <c r="J25" s="263"/>
      <c r="K25" s="259"/>
      <c r="L25" s="259"/>
      <c r="M25" s="259"/>
    </row>
    <row r="26" spans="1:16" ht="16.5">
      <c r="A26" s="334"/>
      <c r="B26" s="331"/>
      <c r="C26" s="332"/>
      <c r="D26" s="333"/>
      <c r="E26" s="259"/>
      <c r="F26" s="758"/>
      <c r="G26" s="759"/>
      <c r="H26" s="759"/>
      <c r="I26" s="760"/>
      <c r="J26" s="263"/>
      <c r="K26" s="259"/>
      <c r="L26" s="259"/>
      <c r="M26" s="259"/>
    </row>
    <row r="27" spans="1:16" ht="16.5">
      <c r="A27" s="334"/>
      <c r="B27" s="331"/>
      <c r="C27" s="332"/>
      <c r="D27" s="333"/>
      <c r="F27" s="758"/>
      <c r="G27" s="759"/>
      <c r="H27" s="759"/>
      <c r="I27" s="760"/>
      <c r="J27" s="263"/>
      <c r="K27" s="259"/>
    </row>
    <row r="28" spans="1:16" ht="16.5">
      <c r="A28" s="334"/>
      <c r="B28" s="331"/>
      <c r="C28" s="332"/>
      <c r="D28" s="333"/>
      <c r="F28" s="568"/>
      <c r="G28" s="569"/>
      <c r="H28" s="570"/>
      <c r="I28" s="571"/>
    </row>
    <row r="29" spans="1:16" ht="16.5">
      <c r="A29" s="334"/>
      <c r="B29" s="331"/>
      <c r="C29" s="332"/>
      <c r="D29" s="333"/>
      <c r="F29" s="568"/>
      <c r="G29" s="569"/>
      <c r="H29" s="570"/>
      <c r="I29" s="571"/>
    </row>
    <row r="30" spans="1:16" ht="16.5">
      <c r="G30" s="259"/>
    </row>
    <row r="31" spans="1:16" ht="16.5">
      <c r="G31" s="259"/>
    </row>
    <row r="32" spans="1:16" ht="16.5">
      <c r="G32" s="259"/>
    </row>
    <row r="33" spans="5:7" ht="16.5">
      <c r="G33" s="259"/>
    </row>
    <row r="34" spans="5:7" ht="16.5">
      <c r="G34" s="259"/>
    </row>
    <row r="35" spans="5:7" ht="16.5">
      <c r="G35" s="259"/>
    </row>
    <row r="36" spans="5:7" ht="16.5">
      <c r="G36" s="259"/>
    </row>
    <row r="37" spans="5:7" ht="16.5">
      <c r="G37" s="259"/>
    </row>
    <row r="38" spans="5:7" ht="12.75">
      <c r="E38" s="235" t="s">
        <v>98</v>
      </c>
    </row>
    <row r="44" spans="5:7" ht="12.75">
      <c r="E44" s="235" t="s">
        <v>98</v>
      </c>
    </row>
    <row r="49" spans="5:5" ht="12.75">
      <c r="E49" s="235" t="s">
        <v>97</v>
      </c>
    </row>
  </sheetData>
  <mergeCells count="5">
    <mergeCell ref="B24:C24"/>
    <mergeCell ref="F24:I24"/>
    <mergeCell ref="F25:I25"/>
    <mergeCell ref="F26:I26"/>
    <mergeCell ref="F27:I27"/>
  </mergeCells>
  <conditionalFormatting sqref="C21:C22 C10:C12 C14:C15">
    <cfRule type="cellIs" dxfId="196" priority="355" stopIfTrue="1" operator="equal">
      <formula>"Sat."</formula>
    </cfRule>
  </conditionalFormatting>
  <conditionalFormatting sqref="C11">
    <cfRule type="cellIs" dxfId="195" priority="354" stopIfTrue="1" operator="equal">
      <formula>"Sat."</formula>
    </cfRule>
  </conditionalFormatting>
  <conditionalFormatting sqref="C11">
    <cfRule type="cellIs" dxfId="194" priority="353" stopIfTrue="1" operator="equal">
      <formula>"Sat."</formula>
    </cfRule>
  </conditionalFormatting>
  <conditionalFormatting sqref="C10">
    <cfRule type="cellIs" dxfId="193" priority="352" stopIfTrue="1" operator="equal">
      <formula>"Sat."</formula>
    </cfRule>
  </conditionalFormatting>
  <conditionalFormatting sqref="C14:C15">
    <cfRule type="cellIs" dxfId="192" priority="351" stopIfTrue="1" operator="equal">
      <formula>"Sat."</formula>
    </cfRule>
  </conditionalFormatting>
  <conditionalFormatting sqref="C11">
    <cfRule type="cellIs" dxfId="191" priority="347" stopIfTrue="1" operator="equal">
      <formula>"Sat."</formula>
    </cfRule>
  </conditionalFormatting>
  <conditionalFormatting sqref="C10">
    <cfRule type="cellIs" dxfId="190" priority="343" stopIfTrue="1" operator="equal">
      <formula>"Sat."</formula>
    </cfRule>
  </conditionalFormatting>
  <conditionalFormatting sqref="C10">
    <cfRule type="cellIs" dxfId="189" priority="342" stopIfTrue="1" operator="equal">
      <formula>"Sat."</formula>
    </cfRule>
  </conditionalFormatting>
  <conditionalFormatting sqref="C10">
    <cfRule type="cellIs" dxfId="188" priority="341" stopIfTrue="1" operator="equal">
      <formula>"Sat."</formula>
    </cfRule>
  </conditionalFormatting>
  <conditionalFormatting sqref="C11">
    <cfRule type="cellIs" dxfId="187" priority="336" stopIfTrue="1" operator="equal">
      <formula>"Sat."</formula>
    </cfRule>
  </conditionalFormatting>
  <conditionalFormatting sqref="C11">
    <cfRule type="cellIs" dxfId="186" priority="335" stopIfTrue="1" operator="equal">
      <formula>"Sat."</formula>
    </cfRule>
  </conditionalFormatting>
  <conditionalFormatting sqref="C11">
    <cfRule type="cellIs" dxfId="185" priority="334" stopIfTrue="1" operator="equal">
      <formula>"Sat."</formula>
    </cfRule>
  </conditionalFormatting>
  <conditionalFormatting sqref="C11">
    <cfRule type="cellIs" dxfId="184" priority="333" stopIfTrue="1" operator="equal">
      <formula>"Sat."</formula>
    </cfRule>
  </conditionalFormatting>
  <conditionalFormatting sqref="C25">
    <cfRule type="cellIs" dxfId="183" priority="324" stopIfTrue="1" operator="equal">
      <formula>"Sat."</formula>
    </cfRule>
  </conditionalFormatting>
  <conditionalFormatting sqref="C25">
    <cfRule type="cellIs" dxfId="182" priority="323" stopIfTrue="1" operator="equal">
      <formula>"Sat."</formula>
    </cfRule>
  </conditionalFormatting>
  <conditionalFormatting sqref="C25">
    <cfRule type="cellIs" dxfId="181" priority="322" stopIfTrue="1" operator="equal">
      <formula>"Sat."</formula>
    </cfRule>
  </conditionalFormatting>
  <conditionalFormatting sqref="C25">
    <cfRule type="cellIs" dxfId="180" priority="321" stopIfTrue="1" operator="equal">
      <formula>"Sat."</formula>
    </cfRule>
  </conditionalFormatting>
  <conditionalFormatting sqref="C25">
    <cfRule type="cellIs" dxfId="179" priority="320" stopIfTrue="1" operator="equal">
      <formula>"Sat."</formula>
    </cfRule>
  </conditionalFormatting>
  <conditionalFormatting sqref="C25">
    <cfRule type="cellIs" dxfId="178" priority="319" stopIfTrue="1" operator="equal">
      <formula>"Sat."</formula>
    </cfRule>
  </conditionalFormatting>
  <conditionalFormatting sqref="C25">
    <cfRule type="cellIs" dxfId="177" priority="325" stopIfTrue="1" operator="equal">
      <formula>"Sat."</formula>
    </cfRule>
  </conditionalFormatting>
  <conditionalFormatting sqref="C26">
    <cfRule type="cellIs" dxfId="176" priority="318" stopIfTrue="1" operator="equal">
      <formula>"Sat."</formula>
    </cfRule>
  </conditionalFormatting>
  <conditionalFormatting sqref="C26">
    <cfRule type="cellIs" dxfId="175" priority="317" stopIfTrue="1" operator="equal">
      <formula>"Sat."</formula>
    </cfRule>
  </conditionalFormatting>
  <conditionalFormatting sqref="C26">
    <cfRule type="cellIs" dxfId="174" priority="316" stopIfTrue="1" operator="equal">
      <formula>"Sat."</formula>
    </cfRule>
  </conditionalFormatting>
  <conditionalFormatting sqref="C26">
    <cfRule type="cellIs" dxfId="173" priority="315" stopIfTrue="1" operator="equal">
      <formula>"Sat."</formula>
    </cfRule>
  </conditionalFormatting>
  <conditionalFormatting sqref="C26">
    <cfRule type="cellIs" dxfId="172" priority="314" stopIfTrue="1" operator="equal">
      <formula>"Sat."</formula>
    </cfRule>
  </conditionalFormatting>
  <conditionalFormatting sqref="C26">
    <cfRule type="cellIs" dxfId="171" priority="313" stopIfTrue="1" operator="equal">
      <formula>"Sat."</formula>
    </cfRule>
  </conditionalFormatting>
  <conditionalFormatting sqref="C26">
    <cfRule type="cellIs" dxfId="170" priority="312" stopIfTrue="1" operator="equal">
      <formula>"Sat."</formula>
    </cfRule>
  </conditionalFormatting>
  <conditionalFormatting sqref="C27">
    <cfRule type="cellIs" dxfId="169" priority="311" stopIfTrue="1" operator="equal">
      <formula>"Sat."</formula>
    </cfRule>
  </conditionalFormatting>
  <conditionalFormatting sqref="C27">
    <cfRule type="cellIs" dxfId="168" priority="310" stopIfTrue="1" operator="equal">
      <formula>"Sat."</formula>
    </cfRule>
  </conditionalFormatting>
  <conditionalFormatting sqref="C27">
    <cfRule type="cellIs" dxfId="167" priority="309" stopIfTrue="1" operator="equal">
      <formula>"Sat."</formula>
    </cfRule>
  </conditionalFormatting>
  <conditionalFormatting sqref="C27">
    <cfRule type="cellIs" dxfId="166" priority="308" stopIfTrue="1" operator="equal">
      <formula>"Sat."</formula>
    </cfRule>
  </conditionalFormatting>
  <conditionalFormatting sqref="C27">
    <cfRule type="cellIs" dxfId="165" priority="307" stopIfTrue="1" operator="equal">
      <formula>"Sat."</formula>
    </cfRule>
  </conditionalFormatting>
  <conditionalFormatting sqref="C27">
    <cfRule type="cellIs" dxfId="164" priority="306" stopIfTrue="1" operator="equal">
      <formula>"Sat."</formula>
    </cfRule>
  </conditionalFormatting>
  <conditionalFormatting sqref="C27">
    <cfRule type="cellIs" dxfId="163" priority="305" stopIfTrue="1" operator="equal">
      <formula>"Sat."</formula>
    </cfRule>
  </conditionalFormatting>
  <conditionalFormatting sqref="C28">
    <cfRule type="cellIs" dxfId="162" priority="304" stopIfTrue="1" operator="equal">
      <formula>"Sat."</formula>
    </cfRule>
  </conditionalFormatting>
  <conditionalFormatting sqref="C28">
    <cfRule type="cellIs" dxfId="161" priority="303" stopIfTrue="1" operator="equal">
      <formula>"Sat."</formula>
    </cfRule>
  </conditionalFormatting>
  <conditionalFormatting sqref="C28">
    <cfRule type="cellIs" dxfId="160" priority="302" stopIfTrue="1" operator="equal">
      <formula>"Sat."</formula>
    </cfRule>
  </conditionalFormatting>
  <conditionalFormatting sqref="C28">
    <cfRule type="cellIs" dxfId="159" priority="301" stopIfTrue="1" operator="equal">
      <formula>"Sat."</formula>
    </cfRule>
  </conditionalFormatting>
  <conditionalFormatting sqref="C28">
    <cfRule type="cellIs" dxfId="158" priority="300" stopIfTrue="1" operator="equal">
      <formula>"Sat."</formula>
    </cfRule>
  </conditionalFormatting>
  <conditionalFormatting sqref="C28">
    <cfRule type="cellIs" dxfId="157" priority="299" stopIfTrue="1" operator="equal">
      <formula>"Sat."</formula>
    </cfRule>
  </conditionalFormatting>
  <conditionalFormatting sqref="C28">
    <cfRule type="cellIs" dxfId="156" priority="298" stopIfTrue="1" operator="equal">
      <formula>"Sat."</formula>
    </cfRule>
  </conditionalFormatting>
  <conditionalFormatting sqref="C29">
    <cfRule type="cellIs" dxfId="155" priority="297" stopIfTrue="1" operator="equal">
      <formula>"Sat."</formula>
    </cfRule>
  </conditionalFormatting>
  <conditionalFormatting sqref="C29">
    <cfRule type="cellIs" dxfId="154" priority="296" stopIfTrue="1" operator="equal">
      <formula>"Sat."</formula>
    </cfRule>
  </conditionalFormatting>
  <conditionalFormatting sqref="C29">
    <cfRule type="cellIs" dxfId="153" priority="295" stopIfTrue="1" operator="equal">
      <formula>"Sat."</formula>
    </cfRule>
  </conditionalFormatting>
  <conditionalFormatting sqref="C29">
    <cfRule type="cellIs" dxfId="152" priority="294" stopIfTrue="1" operator="equal">
      <formula>"Sat."</formula>
    </cfRule>
  </conditionalFormatting>
  <conditionalFormatting sqref="C29">
    <cfRule type="cellIs" dxfId="151" priority="293" stopIfTrue="1" operator="equal">
      <formula>"Sat."</formula>
    </cfRule>
  </conditionalFormatting>
  <conditionalFormatting sqref="C29">
    <cfRule type="cellIs" dxfId="150" priority="292" stopIfTrue="1" operator="equal">
      <formula>"Sat."</formula>
    </cfRule>
  </conditionalFormatting>
  <conditionalFormatting sqref="C29">
    <cfRule type="cellIs" dxfId="149" priority="291" stopIfTrue="1" operator="equal">
      <formula>"Sat."</formula>
    </cfRule>
  </conditionalFormatting>
  <conditionalFormatting sqref="C12">
    <cfRule type="cellIs" dxfId="148" priority="290" stopIfTrue="1" operator="equal">
      <formula>"Sat."</formula>
    </cfRule>
  </conditionalFormatting>
  <conditionalFormatting sqref="C12">
    <cfRule type="cellIs" dxfId="147" priority="289" stopIfTrue="1" operator="equal">
      <formula>"Sat."</formula>
    </cfRule>
  </conditionalFormatting>
  <conditionalFormatting sqref="C11">
    <cfRule type="cellIs" dxfId="146" priority="288" stopIfTrue="1" operator="equal">
      <formula>"Sat."</formula>
    </cfRule>
  </conditionalFormatting>
  <conditionalFormatting sqref="C12">
    <cfRule type="cellIs" dxfId="145" priority="287" stopIfTrue="1" operator="equal">
      <formula>"Sat."</formula>
    </cfRule>
  </conditionalFormatting>
  <conditionalFormatting sqref="C11">
    <cfRule type="cellIs" dxfId="144" priority="286" stopIfTrue="1" operator="equal">
      <formula>"Sat."</formula>
    </cfRule>
  </conditionalFormatting>
  <conditionalFormatting sqref="C11">
    <cfRule type="cellIs" dxfId="143" priority="285" stopIfTrue="1" operator="equal">
      <formula>"Sat."</formula>
    </cfRule>
  </conditionalFormatting>
  <conditionalFormatting sqref="C11">
    <cfRule type="cellIs" dxfId="142" priority="284" stopIfTrue="1" operator="equal">
      <formula>"Sat."</formula>
    </cfRule>
  </conditionalFormatting>
  <conditionalFormatting sqref="C12">
    <cfRule type="cellIs" dxfId="141" priority="283" stopIfTrue="1" operator="equal">
      <formula>"Sat."</formula>
    </cfRule>
  </conditionalFormatting>
  <conditionalFormatting sqref="C12">
    <cfRule type="cellIs" dxfId="140" priority="282" stopIfTrue="1" operator="equal">
      <formula>"Sat."</formula>
    </cfRule>
  </conditionalFormatting>
  <conditionalFormatting sqref="C12">
    <cfRule type="cellIs" dxfId="139" priority="281" stopIfTrue="1" operator="equal">
      <formula>"Sat."</formula>
    </cfRule>
  </conditionalFormatting>
  <conditionalFormatting sqref="C12">
    <cfRule type="cellIs" dxfId="138" priority="280" stopIfTrue="1" operator="equal">
      <formula>"Sat."</formula>
    </cfRule>
  </conditionalFormatting>
  <conditionalFormatting sqref="C20">
    <cfRule type="cellIs" dxfId="137" priority="250" stopIfTrue="1" operator="equal">
      <formula>"Sat."</formula>
    </cfRule>
  </conditionalFormatting>
  <conditionalFormatting sqref="C20">
    <cfRule type="cellIs" dxfId="136" priority="249" stopIfTrue="1" operator="equal">
      <formula>"Sat."</formula>
    </cfRule>
  </conditionalFormatting>
  <conditionalFormatting sqref="C20">
    <cfRule type="cellIs" dxfId="135" priority="248" stopIfTrue="1" operator="equal">
      <formula>"Sat."</formula>
    </cfRule>
  </conditionalFormatting>
  <conditionalFormatting sqref="C20">
    <cfRule type="cellIs" dxfId="134" priority="247" stopIfTrue="1" operator="equal">
      <formula>"Sat."</formula>
    </cfRule>
  </conditionalFormatting>
  <conditionalFormatting sqref="C20">
    <cfRule type="cellIs" dxfId="133" priority="246" stopIfTrue="1" operator="equal">
      <formula>"Sat."</formula>
    </cfRule>
  </conditionalFormatting>
  <conditionalFormatting sqref="C20">
    <cfRule type="cellIs" dxfId="132" priority="245" stopIfTrue="1" operator="equal">
      <formula>"Sat."</formula>
    </cfRule>
  </conditionalFormatting>
  <conditionalFormatting sqref="C20">
    <cfRule type="cellIs" dxfId="131" priority="244" stopIfTrue="1" operator="equal">
      <formula>"Sat."</formula>
    </cfRule>
  </conditionalFormatting>
  <conditionalFormatting sqref="C12">
    <cfRule type="cellIs" dxfId="130" priority="232" stopIfTrue="1" operator="equal">
      <formula>"Sat."</formula>
    </cfRule>
  </conditionalFormatting>
  <conditionalFormatting sqref="C12">
    <cfRule type="cellIs" dxfId="129" priority="230" stopIfTrue="1" operator="equal">
      <formula>"Sat."</formula>
    </cfRule>
  </conditionalFormatting>
  <conditionalFormatting sqref="C12">
    <cfRule type="cellIs" dxfId="128" priority="229" stopIfTrue="1" operator="equal">
      <formula>"Sat."</formula>
    </cfRule>
  </conditionalFormatting>
  <conditionalFormatting sqref="C12">
    <cfRule type="cellIs" dxfId="127" priority="228" stopIfTrue="1" operator="equal">
      <formula>"Sat."</formula>
    </cfRule>
  </conditionalFormatting>
  <conditionalFormatting sqref="C14">
    <cfRule type="cellIs" dxfId="126" priority="223" stopIfTrue="1" operator="equal">
      <formula>"Sat."</formula>
    </cfRule>
  </conditionalFormatting>
  <conditionalFormatting sqref="C14">
    <cfRule type="cellIs" dxfId="125" priority="222" stopIfTrue="1" operator="equal">
      <formula>"Sat."</formula>
    </cfRule>
  </conditionalFormatting>
  <conditionalFormatting sqref="C14">
    <cfRule type="cellIs" dxfId="124" priority="220" stopIfTrue="1" operator="equal">
      <formula>"Sat."</formula>
    </cfRule>
  </conditionalFormatting>
  <conditionalFormatting sqref="C14">
    <cfRule type="cellIs" dxfId="123" priority="216" stopIfTrue="1" operator="equal">
      <formula>"Sat."</formula>
    </cfRule>
  </conditionalFormatting>
  <conditionalFormatting sqref="C14">
    <cfRule type="cellIs" dxfId="122" priority="215" stopIfTrue="1" operator="equal">
      <formula>"Sat."</formula>
    </cfRule>
  </conditionalFormatting>
  <conditionalFormatting sqref="C14">
    <cfRule type="cellIs" dxfId="121" priority="214" stopIfTrue="1" operator="equal">
      <formula>"Sat."</formula>
    </cfRule>
  </conditionalFormatting>
  <conditionalFormatting sqref="C14">
    <cfRule type="cellIs" dxfId="120" priority="213" stopIfTrue="1" operator="equal">
      <formula>"Sat."</formula>
    </cfRule>
  </conditionalFormatting>
  <conditionalFormatting sqref="C15">
    <cfRule type="cellIs" dxfId="119" priority="189" stopIfTrue="1" operator="equal">
      <formula>"Sat."</formula>
    </cfRule>
  </conditionalFormatting>
  <conditionalFormatting sqref="C15">
    <cfRule type="cellIs" dxfId="118" priority="188" stopIfTrue="1" operator="equal">
      <formula>"Sat."</formula>
    </cfRule>
  </conditionalFormatting>
  <conditionalFormatting sqref="C15">
    <cfRule type="cellIs" dxfId="117" priority="187" stopIfTrue="1" operator="equal">
      <formula>"Sat."</formula>
    </cfRule>
  </conditionalFormatting>
  <conditionalFormatting sqref="C15">
    <cfRule type="cellIs" dxfId="116" priority="186" stopIfTrue="1" operator="equal">
      <formula>"Sat."</formula>
    </cfRule>
  </conditionalFormatting>
  <conditionalFormatting sqref="C15">
    <cfRule type="cellIs" dxfId="115" priority="185" stopIfTrue="1" operator="equal">
      <formula>"Sat."</formula>
    </cfRule>
  </conditionalFormatting>
  <conditionalFormatting sqref="C15">
    <cfRule type="cellIs" dxfId="114" priority="184" stopIfTrue="1" operator="equal">
      <formula>"Sat."</formula>
    </cfRule>
  </conditionalFormatting>
  <conditionalFormatting sqref="C15">
    <cfRule type="cellIs" dxfId="113" priority="183" stopIfTrue="1" operator="equal">
      <formula>"Sat."</formula>
    </cfRule>
  </conditionalFormatting>
  <conditionalFormatting sqref="C15">
    <cfRule type="cellIs" dxfId="112" priority="182" stopIfTrue="1" operator="equal">
      <formula>"Sat."</formula>
    </cfRule>
  </conditionalFormatting>
  <conditionalFormatting sqref="C15">
    <cfRule type="cellIs" dxfId="111" priority="181" stopIfTrue="1" operator="equal">
      <formula>"Sat."</formula>
    </cfRule>
  </conditionalFormatting>
  <conditionalFormatting sqref="C14">
    <cfRule type="cellIs" dxfId="110" priority="170" stopIfTrue="1" operator="equal">
      <formula>"Sat."</formula>
    </cfRule>
  </conditionalFormatting>
  <conditionalFormatting sqref="C14">
    <cfRule type="cellIs" dxfId="109" priority="169" stopIfTrue="1" operator="equal">
      <formula>"Sat."</formula>
    </cfRule>
  </conditionalFormatting>
  <conditionalFormatting sqref="C14">
    <cfRule type="cellIs" dxfId="108" priority="168" stopIfTrue="1" operator="equal">
      <formula>"Sat."</formula>
    </cfRule>
  </conditionalFormatting>
  <conditionalFormatting sqref="C14">
    <cfRule type="cellIs" dxfId="107" priority="167" stopIfTrue="1" operator="equal">
      <formula>"Sat."</formula>
    </cfRule>
  </conditionalFormatting>
  <conditionalFormatting sqref="C14">
    <cfRule type="cellIs" dxfId="106" priority="166" stopIfTrue="1" operator="equal">
      <formula>"Sat."</formula>
    </cfRule>
  </conditionalFormatting>
  <conditionalFormatting sqref="C14">
    <cfRule type="cellIs" dxfId="105" priority="165" stopIfTrue="1" operator="equal">
      <formula>"Sat."</formula>
    </cfRule>
  </conditionalFormatting>
  <conditionalFormatting sqref="C14">
    <cfRule type="cellIs" dxfId="104" priority="164" stopIfTrue="1" operator="equal">
      <formula>"Sat."</formula>
    </cfRule>
  </conditionalFormatting>
  <conditionalFormatting sqref="C15">
    <cfRule type="cellIs" dxfId="103" priority="163" stopIfTrue="1" operator="equal">
      <formula>"Sat."</formula>
    </cfRule>
  </conditionalFormatting>
  <conditionalFormatting sqref="C15">
    <cfRule type="cellIs" dxfId="102" priority="162" stopIfTrue="1" operator="equal">
      <formula>"Sat."</formula>
    </cfRule>
  </conditionalFormatting>
  <conditionalFormatting sqref="C14">
    <cfRule type="cellIs" dxfId="101" priority="161" stopIfTrue="1" operator="equal">
      <formula>"Sat."</formula>
    </cfRule>
  </conditionalFormatting>
  <conditionalFormatting sqref="C15">
    <cfRule type="cellIs" dxfId="100" priority="160" stopIfTrue="1" operator="equal">
      <formula>"Sat."</formula>
    </cfRule>
  </conditionalFormatting>
  <conditionalFormatting sqref="C14">
    <cfRule type="cellIs" dxfId="99" priority="159" stopIfTrue="1" operator="equal">
      <formula>"Sat."</formula>
    </cfRule>
  </conditionalFormatting>
  <conditionalFormatting sqref="C14">
    <cfRule type="cellIs" dxfId="98" priority="158" stopIfTrue="1" operator="equal">
      <formula>"Sat."</formula>
    </cfRule>
  </conditionalFormatting>
  <conditionalFormatting sqref="C14">
    <cfRule type="cellIs" dxfId="97" priority="157" stopIfTrue="1" operator="equal">
      <formula>"Sat."</formula>
    </cfRule>
  </conditionalFormatting>
  <conditionalFormatting sqref="C15">
    <cfRule type="cellIs" dxfId="96" priority="156" stopIfTrue="1" operator="equal">
      <formula>"Sat."</formula>
    </cfRule>
  </conditionalFormatting>
  <conditionalFormatting sqref="C15">
    <cfRule type="cellIs" dxfId="95" priority="155" stopIfTrue="1" operator="equal">
      <formula>"Sat."</formula>
    </cfRule>
  </conditionalFormatting>
  <conditionalFormatting sqref="C15">
    <cfRule type="cellIs" dxfId="94" priority="154" stopIfTrue="1" operator="equal">
      <formula>"Sat."</formula>
    </cfRule>
  </conditionalFormatting>
  <conditionalFormatting sqref="C15">
    <cfRule type="cellIs" dxfId="93" priority="153" stopIfTrue="1" operator="equal">
      <formula>"Sat."</formula>
    </cfRule>
  </conditionalFormatting>
  <conditionalFormatting sqref="C14">
    <cfRule type="cellIs" dxfId="92" priority="152" stopIfTrue="1" operator="equal">
      <formula>"Sat."</formula>
    </cfRule>
  </conditionalFormatting>
  <conditionalFormatting sqref="C14">
    <cfRule type="cellIs" dxfId="91" priority="151" stopIfTrue="1" operator="equal">
      <formula>"Sat."</formula>
    </cfRule>
  </conditionalFormatting>
  <conditionalFormatting sqref="C14">
    <cfRule type="cellIs" dxfId="90" priority="150" stopIfTrue="1" operator="equal">
      <formula>"Sat."</formula>
    </cfRule>
  </conditionalFormatting>
  <conditionalFormatting sqref="C14">
    <cfRule type="cellIs" dxfId="89" priority="149" stopIfTrue="1" operator="equal">
      <formula>"Sat."</formula>
    </cfRule>
  </conditionalFormatting>
  <conditionalFormatting sqref="C14">
    <cfRule type="cellIs" dxfId="88" priority="148" stopIfTrue="1" operator="equal">
      <formula>"Sat."</formula>
    </cfRule>
  </conditionalFormatting>
  <conditionalFormatting sqref="C14">
    <cfRule type="cellIs" dxfId="87" priority="147" stopIfTrue="1" operator="equal">
      <formula>"Sat."</formula>
    </cfRule>
  </conditionalFormatting>
  <conditionalFormatting sqref="C14">
    <cfRule type="cellIs" dxfId="86" priority="146" stopIfTrue="1" operator="equal">
      <formula>"Sat."</formula>
    </cfRule>
  </conditionalFormatting>
  <conditionalFormatting sqref="C8">
    <cfRule type="cellIs" dxfId="85" priority="122" stopIfTrue="1" operator="equal">
      <formula>"Sat."</formula>
    </cfRule>
  </conditionalFormatting>
  <conditionalFormatting sqref="C7">
    <cfRule type="cellIs" dxfId="84" priority="111" stopIfTrue="1" operator="equal">
      <formula>"Sat."</formula>
    </cfRule>
  </conditionalFormatting>
  <conditionalFormatting sqref="C17:C19">
    <cfRule type="cellIs" dxfId="83" priority="110" stopIfTrue="1" operator="equal">
      <formula>"Sat."</formula>
    </cfRule>
  </conditionalFormatting>
  <conditionalFormatting sqref="C17:C19">
    <cfRule type="cellIs" dxfId="82" priority="109" stopIfTrue="1" operator="equal">
      <formula>"Sat."</formula>
    </cfRule>
  </conditionalFormatting>
  <conditionalFormatting sqref="C17:C19">
    <cfRule type="cellIs" dxfId="81" priority="108" stopIfTrue="1" operator="equal">
      <formula>"Sat."</formula>
    </cfRule>
  </conditionalFormatting>
  <conditionalFormatting sqref="C17:C19">
    <cfRule type="cellIs" dxfId="80" priority="107" stopIfTrue="1" operator="equal">
      <formula>"Sat."</formula>
    </cfRule>
  </conditionalFormatting>
  <conditionalFormatting sqref="C17:C19">
    <cfRule type="cellIs" dxfId="79" priority="106" stopIfTrue="1" operator="equal">
      <formula>"Sat."</formula>
    </cfRule>
  </conditionalFormatting>
  <conditionalFormatting sqref="C17:C19">
    <cfRule type="cellIs" dxfId="78" priority="105" stopIfTrue="1" operator="equal">
      <formula>"Sat."</formula>
    </cfRule>
  </conditionalFormatting>
  <conditionalFormatting sqref="C17:C19">
    <cfRule type="cellIs" dxfId="77" priority="104" stopIfTrue="1" operator="equal">
      <formula>"Sat."</formula>
    </cfRule>
  </conditionalFormatting>
  <conditionalFormatting sqref="C17:C19">
    <cfRule type="cellIs" dxfId="76" priority="103" stopIfTrue="1" operator="equal">
      <formula>"Sat."</formula>
    </cfRule>
  </conditionalFormatting>
  <conditionalFormatting sqref="C17:C19">
    <cfRule type="cellIs" dxfId="75" priority="102" stopIfTrue="1" operator="equal">
      <formula>"Sat."</formula>
    </cfRule>
  </conditionalFormatting>
  <conditionalFormatting sqref="C17:C19">
    <cfRule type="cellIs" dxfId="74" priority="101" stopIfTrue="1" operator="equal">
      <formula>"Sat."</formula>
    </cfRule>
  </conditionalFormatting>
  <conditionalFormatting sqref="C17:C19">
    <cfRule type="cellIs" dxfId="73" priority="100" stopIfTrue="1" operator="equal">
      <formula>"Sat."</formula>
    </cfRule>
  </conditionalFormatting>
  <conditionalFormatting sqref="C17:C19">
    <cfRule type="cellIs" dxfId="72" priority="99" stopIfTrue="1" operator="equal">
      <formula>"Sat."</formula>
    </cfRule>
  </conditionalFormatting>
  <conditionalFormatting sqref="C17:C19">
    <cfRule type="cellIs" dxfId="71" priority="98" stopIfTrue="1" operator="equal">
      <formula>"Sat."</formula>
    </cfRule>
  </conditionalFormatting>
  <conditionalFormatting sqref="C17:C19">
    <cfRule type="cellIs" dxfId="70" priority="97" stopIfTrue="1" operator="equal">
      <formula>"Sat."</formula>
    </cfRule>
  </conditionalFormatting>
  <conditionalFormatting sqref="C17:C19">
    <cfRule type="cellIs" dxfId="69" priority="96" stopIfTrue="1" operator="equal">
      <formula>"Sat."</formula>
    </cfRule>
  </conditionalFormatting>
  <conditionalFormatting sqref="C17:C19">
    <cfRule type="cellIs" dxfId="68" priority="95" stopIfTrue="1" operator="equal">
      <formula>"Sat."</formula>
    </cfRule>
  </conditionalFormatting>
  <conditionalFormatting sqref="C17:C19">
    <cfRule type="cellIs" dxfId="67" priority="94" stopIfTrue="1" operator="equal">
      <formula>"Sat."</formula>
    </cfRule>
  </conditionalFormatting>
  <conditionalFormatting sqref="C17:C19">
    <cfRule type="cellIs" dxfId="66" priority="93" stopIfTrue="1" operator="equal">
      <formula>"Sat."</formula>
    </cfRule>
  </conditionalFormatting>
  <conditionalFormatting sqref="C14">
    <cfRule type="cellIs" dxfId="65" priority="91" stopIfTrue="1" operator="equal">
      <formula>"Sat."</formula>
    </cfRule>
  </conditionalFormatting>
  <conditionalFormatting sqref="C14">
    <cfRule type="cellIs" dxfId="64" priority="90" stopIfTrue="1" operator="equal">
      <formula>"Sat."</formula>
    </cfRule>
  </conditionalFormatting>
  <conditionalFormatting sqref="C14">
    <cfRule type="cellIs" dxfId="63" priority="89" stopIfTrue="1" operator="equal">
      <formula>"Sat."</formula>
    </cfRule>
  </conditionalFormatting>
  <conditionalFormatting sqref="C14">
    <cfRule type="cellIs" dxfId="62" priority="88" stopIfTrue="1" operator="equal">
      <formula>"Sat."</formula>
    </cfRule>
  </conditionalFormatting>
  <conditionalFormatting sqref="C14">
    <cfRule type="cellIs" dxfId="61" priority="87" stopIfTrue="1" operator="equal">
      <formula>"Sat."</formula>
    </cfRule>
  </conditionalFormatting>
  <conditionalFormatting sqref="C14">
    <cfRule type="cellIs" dxfId="60" priority="86" stopIfTrue="1" operator="equal">
      <formula>"Sat."</formula>
    </cfRule>
  </conditionalFormatting>
  <conditionalFormatting sqref="C14">
    <cfRule type="cellIs" dxfId="59" priority="85" stopIfTrue="1" operator="equal">
      <formula>"Sat."</formula>
    </cfRule>
  </conditionalFormatting>
  <conditionalFormatting sqref="C14">
    <cfRule type="cellIs" dxfId="58" priority="84" stopIfTrue="1" operator="equal">
      <formula>"Sat."</formula>
    </cfRule>
  </conditionalFormatting>
  <conditionalFormatting sqref="C14">
    <cfRule type="cellIs" dxfId="57" priority="83" stopIfTrue="1" operator="equal">
      <formula>"Sat."</formula>
    </cfRule>
  </conditionalFormatting>
  <conditionalFormatting sqref="C14">
    <cfRule type="cellIs" dxfId="56" priority="82" stopIfTrue="1" operator="equal">
      <formula>"Sat."</formula>
    </cfRule>
  </conditionalFormatting>
  <conditionalFormatting sqref="C14">
    <cfRule type="cellIs" dxfId="55" priority="81" stopIfTrue="1" operator="equal">
      <formula>"Sat."</formula>
    </cfRule>
  </conditionalFormatting>
  <conditionalFormatting sqref="C15">
    <cfRule type="cellIs" dxfId="54" priority="55" stopIfTrue="1" operator="equal">
      <formula>"Sat."</formula>
    </cfRule>
  </conditionalFormatting>
  <conditionalFormatting sqref="C15">
    <cfRule type="cellIs" dxfId="53" priority="54" stopIfTrue="1" operator="equal">
      <formula>"Sat."</formula>
    </cfRule>
  </conditionalFormatting>
  <conditionalFormatting sqref="C15">
    <cfRule type="cellIs" dxfId="52" priority="53" stopIfTrue="1" operator="equal">
      <formula>"Sat."</formula>
    </cfRule>
  </conditionalFormatting>
  <conditionalFormatting sqref="C15">
    <cfRule type="cellIs" dxfId="51" priority="52" stopIfTrue="1" operator="equal">
      <formula>"Sat."</formula>
    </cfRule>
  </conditionalFormatting>
  <conditionalFormatting sqref="C15">
    <cfRule type="cellIs" dxfId="50" priority="51" stopIfTrue="1" operator="equal">
      <formula>"Sat."</formula>
    </cfRule>
  </conditionalFormatting>
  <conditionalFormatting sqref="C15">
    <cfRule type="cellIs" dxfId="49" priority="50" stopIfTrue="1" operator="equal">
      <formula>"Sat."</formula>
    </cfRule>
  </conditionalFormatting>
  <conditionalFormatting sqref="C15">
    <cfRule type="cellIs" dxfId="48" priority="49" stopIfTrue="1" operator="equal">
      <formula>"Sat."</formula>
    </cfRule>
  </conditionalFormatting>
  <conditionalFormatting sqref="C15">
    <cfRule type="cellIs" dxfId="47" priority="48" stopIfTrue="1" operator="equal">
      <formula>"Sat."</formula>
    </cfRule>
  </conditionalFormatting>
  <conditionalFormatting sqref="C15">
    <cfRule type="cellIs" dxfId="46" priority="47" stopIfTrue="1" operator="equal">
      <formula>"Sat."</formula>
    </cfRule>
  </conditionalFormatting>
  <conditionalFormatting sqref="C15">
    <cfRule type="cellIs" dxfId="45" priority="46" stopIfTrue="1" operator="equal">
      <formula>"Sat."</formula>
    </cfRule>
  </conditionalFormatting>
  <conditionalFormatting sqref="C15">
    <cfRule type="cellIs" dxfId="44" priority="45" stopIfTrue="1" operator="equal">
      <formula>"Sat."</formula>
    </cfRule>
  </conditionalFormatting>
  <conditionalFormatting sqref="C15">
    <cfRule type="cellIs" dxfId="43" priority="44" stopIfTrue="1" operator="equal">
      <formula>"Sat."</formula>
    </cfRule>
  </conditionalFormatting>
  <conditionalFormatting sqref="C6">
    <cfRule type="beginsWith" dxfId="42" priority="34" operator="beginsWith" text="Sat">
      <formula>LEFT(C6,LEN("Sat"))="Sat"</formula>
    </cfRule>
    <cfRule type="cellIs" dxfId="41" priority="43" stopIfTrue="1" operator="equal">
      <formula>"Sat."</formula>
    </cfRule>
  </conditionalFormatting>
  <conditionalFormatting sqref="C6">
    <cfRule type="cellIs" dxfId="40" priority="42" stopIfTrue="1" operator="equal">
      <formula>"Sat."</formula>
    </cfRule>
  </conditionalFormatting>
  <conditionalFormatting sqref="C6">
    <cfRule type="cellIs" dxfId="39" priority="41" stopIfTrue="1" operator="equal">
      <formula>"Sat."</formula>
    </cfRule>
  </conditionalFormatting>
  <conditionalFormatting sqref="C6">
    <cfRule type="cellIs" dxfId="38" priority="40" stopIfTrue="1" operator="equal">
      <formula>"Sat."</formula>
    </cfRule>
  </conditionalFormatting>
  <conditionalFormatting sqref="C6">
    <cfRule type="cellIs" dxfId="37" priority="39" stopIfTrue="1" operator="equal">
      <formula>"Sat."</formula>
    </cfRule>
  </conditionalFormatting>
  <conditionalFormatting sqref="C6">
    <cfRule type="cellIs" dxfId="36" priority="38" stopIfTrue="1" operator="equal">
      <formula>"Sat."</formula>
    </cfRule>
  </conditionalFormatting>
  <conditionalFormatting sqref="C6">
    <cfRule type="cellIs" dxfId="35" priority="37" stopIfTrue="1" operator="equal">
      <formula>"Sat."</formula>
    </cfRule>
  </conditionalFormatting>
  <conditionalFormatting sqref="C6">
    <cfRule type="cellIs" dxfId="34" priority="36" stopIfTrue="1" operator="equal">
      <formula>"Sat."</formula>
    </cfRule>
  </conditionalFormatting>
  <conditionalFormatting sqref="C6">
    <cfRule type="cellIs" dxfId="33" priority="35" stopIfTrue="1" operator="equal">
      <formula>"Sat."</formula>
    </cfRule>
  </conditionalFormatting>
  <conditionalFormatting sqref="C13">
    <cfRule type="beginsWith" dxfId="32" priority="24" operator="beginsWith" text="Sat">
      <formula>LEFT(C13,LEN("Sat"))="Sat"</formula>
    </cfRule>
    <cfRule type="cellIs" dxfId="31" priority="33" stopIfTrue="1" operator="equal">
      <formula>"Sat."</formula>
    </cfRule>
  </conditionalFormatting>
  <conditionalFormatting sqref="C13">
    <cfRule type="cellIs" dxfId="30" priority="32" stopIfTrue="1" operator="equal">
      <formula>"Sat."</formula>
    </cfRule>
  </conditionalFormatting>
  <conditionalFormatting sqref="C13">
    <cfRule type="cellIs" dxfId="29" priority="31" stopIfTrue="1" operator="equal">
      <formula>"Sat."</formula>
    </cfRule>
  </conditionalFormatting>
  <conditionalFormatting sqref="C13">
    <cfRule type="cellIs" dxfId="28" priority="30" stopIfTrue="1" operator="equal">
      <formula>"Sat."</formula>
    </cfRule>
  </conditionalFormatting>
  <conditionalFormatting sqref="C13">
    <cfRule type="cellIs" dxfId="27" priority="29" stopIfTrue="1" operator="equal">
      <formula>"Sat."</formula>
    </cfRule>
  </conditionalFormatting>
  <conditionalFormatting sqref="C13">
    <cfRule type="cellIs" dxfId="26" priority="28" stopIfTrue="1" operator="equal">
      <formula>"Sat."</formula>
    </cfRule>
  </conditionalFormatting>
  <conditionalFormatting sqref="C13">
    <cfRule type="cellIs" dxfId="25" priority="27" stopIfTrue="1" operator="equal">
      <formula>"Sat."</formula>
    </cfRule>
  </conditionalFormatting>
  <conditionalFormatting sqref="C13">
    <cfRule type="cellIs" dxfId="24" priority="26" stopIfTrue="1" operator="equal">
      <formula>"Sat."</formula>
    </cfRule>
  </conditionalFormatting>
  <conditionalFormatting sqref="C13">
    <cfRule type="cellIs" dxfId="23" priority="25" stopIfTrue="1" operator="equal">
      <formula>"Sat."</formula>
    </cfRule>
  </conditionalFormatting>
  <conditionalFormatting sqref="C9">
    <cfRule type="cellIs" dxfId="22" priority="23" stopIfTrue="1" operator="equal">
      <formula>"Sat."</formula>
    </cfRule>
  </conditionalFormatting>
  <conditionalFormatting sqref="C9">
    <cfRule type="cellIs" dxfId="21" priority="22" stopIfTrue="1" operator="equal">
      <formula>"Sat."</formula>
    </cfRule>
  </conditionalFormatting>
  <conditionalFormatting sqref="C9">
    <cfRule type="cellIs" dxfId="20" priority="21" stopIfTrue="1" operator="equal">
      <formula>"Sat."</formula>
    </cfRule>
  </conditionalFormatting>
  <conditionalFormatting sqref="C9">
    <cfRule type="cellIs" dxfId="19" priority="20" stopIfTrue="1" operator="equal">
      <formula>"Sat."</formula>
    </cfRule>
  </conditionalFormatting>
  <conditionalFormatting sqref="C9">
    <cfRule type="cellIs" dxfId="18" priority="19" stopIfTrue="1" operator="equal">
      <formula>"Sat."</formula>
    </cfRule>
  </conditionalFormatting>
  <conditionalFormatting sqref="C16">
    <cfRule type="cellIs" dxfId="17" priority="18" stopIfTrue="1" operator="equal">
      <formula>"Sat."</formula>
    </cfRule>
  </conditionalFormatting>
  <conditionalFormatting sqref="C16">
    <cfRule type="cellIs" dxfId="16" priority="17" stopIfTrue="1" operator="equal">
      <formula>"Sat."</formula>
    </cfRule>
  </conditionalFormatting>
  <conditionalFormatting sqref="C16">
    <cfRule type="cellIs" dxfId="15" priority="16" stopIfTrue="1" operator="equal">
      <formula>"Sat."</formula>
    </cfRule>
  </conditionalFormatting>
  <conditionalFormatting sqref="C16">
    <cfRule type="cellIs" dxfId="14" priority="15" stopIfTrue="1" operator="equal">
      <formula>"Sat."</formula>
    </cfRule>
  </conditionalFormatting>
  <conditionalFormatting sqref="C16">
    <cfRule type="cellIs" dxfId="13" priority="14" stopIfTrue="1" operator="equal">
      <formula>"Sat."</formula>
    </cfRule>
  </conditionalFormatting>
  <conditionalFormatting sqref="C16">
    <cfRule type="cellIs" dxfId="12" priority="13" stopIfTrue="1" operator="equal">
      <formula>"Sat."</formula>
    </cfRule>
  </conditionalFormatting>
  <conditionalFormatting sqref="C16">
    <cfRule type="cellIs" dxfId="11" priority="12" stopIfTrue="1" operator="equal">
      <formula>"Sat."</formula>
    </cfRule>
  </conditionalFormatting>
  <conditionalFormatting sqref="C16">
    <cfRule type="cellIs" dxfId="10" priority="11" stopIfTrue="1" operator="equal">
      <formula>"Sat."</formula>
    </cfRule>
  </conditionalFormatting>
  <conditionalFormatting sqref="C16">
    <cfRule type="cellIs" dxfId="9" priority="10" stopIfTrue="1" operator="equal">
      <formula>"Sat."</formula>
    </cfRule>
  </conditionalFormatting>
  <conditionalFormatting sqref="C16">
    <cfRule type="cellIs" dxfId="8" priority="9" stopIfTrue="1" operator="equal">
      <formula>"Sat."</formula>
    </cfRule>
  </conditionalFormatting>
  <conditionalFormatting sqref="C16">
    <cfRule type="cellIs" dxfId="7" priority="8" stopIfTrue="1" operator="equal">
      <formula>"Sat."</formula>
    </cfRule>
  </conditionalFormatting>
  <conditionalFormatting sqref="C16">
    <cfRule type="cellIs" dxfId="6" priority="7" stopIfTrue="1" operator="equal">
      <formula>"Sat."</formula>
    </cfRule>
  </conditionalFormatting>
  <conditionalFormatting sqref="C16">
    <cfRule type="cellIs" dxfId="5" priority="6" stopIfTrue="1" operator="equal">
      <formula>"Sat."</formula>
    </cfRule>
  </conditionalFormatting>
  <conditionalFormatting sqref="C16">
    <cfRule type="cellIs" dxfId="4" priority="5" stopIfTrue="1" operator="equal">
      <formula>"Sat."</formula>
    </cfRule>
  </conditionalFormatting>
  <conditionalFormatting sqref="C16">
    <cfRule type="cellIs" dxfId="3" priority="4" stopIfTrue="1" operator="equal">
      <formula>"Sat."</formula>
    </cfRule>
  </conditionalFormatting>
  <conditionalFormatting sqref="C16">
    <cfRule type="cellIs" dxfId="2" priority="3" stopIfTrue="1" operator="equal">
      <formula>"Sat."</formula>
    </cfRule>
  </conditionalFormatting>
  <conditionalFormatting sqref="C16">
    <cfRule type="cellIs" dxfId="1" priority="2" stopIfTrue="1" operator="equal">
      <formula>"Sat."</formula>
    </cfRule>
  </conditionalFormatting>
  <conditionalFormatting sqref="C16">
    <cfRule type="cellIs" dxfId="0" priority="1" stopIfTrue="1" operator="equal">
      <formula>"Sat."</formula>
    </cfRule>
  </conditionalFormatting>
  <printOptions horizontalCentered="1"/>
  <pageMargins left="0.23" right="0.17" top="0.23" bottom="0.44" header="0.19" footer="0.16"/>
  <pageSetup paperSize="9" scale="93" orientation="portrait" verticalDpi="1200" r:id="rId1"/>
  <headerFooter alignWithMargins="0">
    <oddFooter xml:space="preserve">&amp;L&amp;"Wingdings,Regular"&amp;8 1&amp;"Tahoma,Regular" &amp;F  &amp;"Wingdings,Regular"4&amp;"Tahoma,Regular" &amp;A&amp;R&amp;"Arial,Regular"Page &amp;P of &amp;N&amp;8
&amp;"Arial,Italic"Printed: &amp;D, &amp;T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7"/>
    <pageSetUpPr fitToPage="1"/>
  </sheetPr>
  <dimension ref="A1:O66"/>
  <sheetViews>
    <sheetView showGridLines="0" workbookViewId="0"/>
  </sheetViews>
  <sheetFormatPr defaultColWidth="9.5703125" defaultRowHeight="13.5"/>
  <cols>
    <col min="1" max="1" width="4.5703125" style="1" customWidth="1"/>
    <col min="2" max="2" width="24.5703125" style="1" customWidth="1"/>
    <col min="3" max="3" width="5.7109375" style="1" customWidth="1"/>
    <col min="4" max="4" width="4.7109375" style="1" customWidth="1"/>
    <col min="5" max="5" width="10.7109375" style="1" customWidth="1"/>
    <col min="6" max="6" width="9.7109375" style="1" customWidth="1"/>
    <col min="7" max="7" width="2.85546875" style="1" customWidth="1"/>
    <col min="8" max="9" width="9.7109375" style="1" customWidth="1"/>
    <col min="10" max="10" width="2.85546875" style="1" customWidth="1"/>
    <col min="11" max="13" width="8.7109375" style="1" customWidth="1"/>
    <col min="14" max="256" width="9.5703125" style="1"/>
    <col min="257" max="257" width="4.5703125" style="1" customWidth="1"/>
    <col min="258" max="258" width="24.5703125" style="1" customWidth="1"/>
    <col min="259" max="259" width="5.7109375" style="1" customWidth="1"/>
    <col min="260" max="260" width="4.7109375" style="1" customWidth="1"/>
    <col min="261" max="261" width="10.7109375" style="1" customWidth="1"/>
    <col min="262" max="262" width="9.7109375" style="1" customWidth="1"/>
    <col min="263" max="263" width="2.85546875" style="1" customWidth="1"/>
    <col min="264" max="265" width="9.7109375" style="1" customWidth="1"/>
    <col min="266" max="269" width="8.7109375" style="1" customWidth="1"/>
    <col min="270" max="512" width="9.5703125" style="1"/>
    <col min="513" max="513" width="4.5703125" style="1" customWidth="1"/>
    <col min="514" max="514" width="24.5703125" style="1" customWidth="1"/>
    <col min="515" max="515" width="5.7109375" style="1" customWidth="1"/>
    <col min="516" max="516" width="4.7109375" style="1" customWidth="1"/>
    <col min="517" max="517" width="10.7109375" style="1" customWidth="1"/>
    <col min="518" max="518" width="9.7109375" style="1" customWidth="1"/>
    <col min="519" max="519" width="2.85546875" style="1" customWidth="1"/>
    <col min="520" max="521" width="9.7109375" style="1" customWidth="1"/>
    <col min="522" max="525" width="8.7109375" style="1" customWidth="1"/>
    <col min="526" max="768" width="9.5703125" style="1"/>
    <col min="769" max="769" width="4.5703125" style="1" customWidth="1"/>
    <col min="770" max="770" width="24.5703125" style="1" customWidth="1"/>
    <col min="771" max="771" width="5.7109375" style="1" customWidth="1"/>
    <col min="772" max="772" width="4.7109375" style="1" customWidth="1"/>
    <col min="773" max="773" width="10.7109375" style="1" customWidth="1"/>
    <col min="774" max="774" width="9.7109375" style="1" customWidth="1"/>
    <col min="775" max="775" width="2.85546875" style="1" customWidth="1"/>
    <col min="776" max="777" width="9.7109375" style="1" customWidth="1"/>
    <col min="778" max="781" width="8.7109375" style="1" customWidth="1"/>
    <col min="782" max="1024" width="9.5703125" style="1"/>
    <col min="1025" max="1025" width="4.5703125" style="1" customWidth="1"/>
    <col min="1026" max="1026" width="24.5703125" style="1" customWidth="1"/>
    <col min="1027" max="1027" width="5.7109375" style="1" customWidth="1"/>
    <col min="1028" max="1028" width="4.7109375" style="1" customWidth="1"/>
    <col min="1029" max="1029" width="10.7109375" style="1" customWidth="1"/>
    <col min="1030" max="1030" width="9.7109375" style="1" customWidth="1"/>
    <col min="1031" max="1031" width="2.85546875" style="1" customWidth="1"/>
    <col min="1032" max="1033" width="9.7109375" style="1" customWidth="1"/>
    <col min="1034" max="1037" width="8.7109375" style="1" customWidth="1"/>
    <col min="1038" max="1280" width="9.5703125" style="1"/>
    <col min="1281" max="1281" width="4.5703125" style="1" customWidth="1"/>
    <col min="1282" max="1282" width="24.5703125" style="1" customWidth="1"/>
    <col min="1283" max="1283" width="5.7109375" style="1" customWidth="1"/>
    <col min="1284" max="1284" width="4.7109375" style="1" customWidth="1"/>
    <col min="1285" max="1285" width="10.7109375" style="1" customWidth="1"/>
    <col min="1286" max="1286" width="9.7109375" style="1" customWidth="1"/>
    <col min="1287" max="1287" width="2.85546875" style="1" customWidth="1"/>
    <col min="1288" max="1289" width="9.7109375" style="1" customWidth="1"/>
    <col min="1290" max="1293" width="8.7109375" style="1" customWidth="1"/>
    <col min="1294" max="1536" width="9.5703125" style="1"/>
    <col min="1537" max="1537" width="4.5703125" style="1" customWidth="1"/>
    <col min="1538" max="1538" width="24.5703125" style="1" customWidth="1"/>
    <col min="1539" max="1539" width="5.7109375" style="1" customWidth="1"/>
    <col min="1540" max="1540" width="4.7109375" style="1" customWidth="1"/>
    <col min="1541" max="1541" width="10.7109375" style="1" customWidth="1"/>
    <col min="1542" max="1542" width="9.7109375" style="1" customWidth="1"/>
    <col min="1543" max="1543" width="2.85546875" style="1" customWidth="1"/>
    <col min="1544" max="1545" width="9.7109375" style="1" customWidth="1"/>
    <col min="1546" max="1549" width="8.7109375" style="1" customWidth="1"/>
    <col min="1550" max="1792" width="9.5703125" style="1"/>
    <col min="1793" max="1793" width="4.5703125" style="1" customWidth="1"/>
    <col min="1794" max="1794" width="24.5703125" style="1" customWidth="1"/>
    <col min="1795" max="1795" width="5.7109375" style="1" customWidth="1"/>
    <col min="1796" max="1796" width="4.7109375" style="1" customWidth="1"/>
    <col min="1797" max="1797" width="10.7109375" style="1" customWidth="1"/>
    <col min="1798" max="1798" width="9.7109375" style="1" customWidth="1"/>
    <col min="1799" max="1799" width="2.85546875" style="1" customWidth="1"/>
    <col min="1800" max="1801" width="9.7109375" style="1" customWidth="1"/>
    <col min="1802" max="1805" width="8.7109375" style="1" customWidth="1"/>
    <col min="1806" max="2048" width="9.5703125" style="1"/>
    <col min="2049" max="2049" width="4.5703125" style="1" customWidth="1"/>
    <col min="2050" max="2050" width="24.5703125" style="1" customWidth="1"/>
    <col min="2051" max="2051" width="5.7109375" style="1" customWidth="1"/>
    <col min="2052" max="2052" width="4.7109375" style="1" customWidth="1"/>
    <col min="2053" max="2053" width="10.7109375" style="1" customWidth="1"/>
    <col min="2054" max="2054" width="9.7109375" style="1" customWidth="1"/>
    <col min="2055" max="2055" width="2.85546875" style="1" customWidth="1"/>
    <col min="2056" max="2057" width="9.7109375" style="1" customWidth="1"/>
    <col min="2058" max="2061" width="8.7109375" style="1" customWidth="1"/>
    <col min="2062" max="2304" width="9.5703125" style="1"/>
    <col min="2305" max="2305" width="4.5703125" style="1" customWidth="1"/>
    <col min="2306" max="2306" width="24.5703125" style="1" customWidth="1"/>
    <col min="2307" max="2307" width="5.7109375" style="1" customWidth="1"/>
    <col min="2308" max="2308" width="4.7109375" style="1" customWidth="1"/>
    <col min="2309" max="2309" width="10.7109375" style="1" customWidth="1"/>
    <col min="2310" max="2310" width="9.7109375" style="1" customWidth="1"/>
    <col min="2311" max="2311" width="2.85546875" style="1" customWidth="1"/>
    <col min="2312" max="2313" width="9.7109375" style="1" customWidth="1"/>
    <col min="2314" max="2317" width="8.7109375" style="1" customWidth="1"/>
    <col min="2318" max="2560" width="9.5703125" style="1"/>
    <col min="2561" max="2561" width="4.5703125" style="1" customWidth="1"/>
    <col min="2562" max="2562" width="24.5703125" style="1" customWidth="1"/>
    <col min="2563" max="2563" width="5.7109375" style="1" customWidth="1"/>
    <col min="2564" max="2564" width="4.7109375" style="1" customWidth="1"/>
    <col min="2565" max="2565" width="10.7109375" style="1" customWidth="1"/>
    <col min="2566" max="2566" width="9.7109375" style="1" customWidth="1"/>
    <col min="2567" max="2567" width="2.85546875" style="1" customWidth="1"/>
    <col min="2568" max="2569" width="9.7109375" style="1" customWidth="1"/>
    <col min="2570" max="2573" width="8.7109375" style="1" customWidth="1"/>
    <col min="2574" max="2816" width="9.5703125" style="1"/>
    <col min="2817" max="2817" width="4.5703125" style="1" customWidth="1"/>
    <col min="2818" max="2818" width="24.5703125" style="1" customWidth="1"/>
    <col min="2819" max="2819" width="5.7109375" style="1" customWidth="1"/>
    <col min="2820" max="2820" width="4.7109375" style="1" customWidth="1"/>
    <col min="2821" max="2821" width="10.7109375" style="1" customWidth="1"/>
    <col min="2822" max="2822" width="9.7109375" style="1" customWidth="1"/>
    <col min="2823" max="2823" width="2.85546875" style="1" customWidth="1"/>
    <col min="2824" max="2825" width="9.7109375" style="1" customWidth="1"/>
    <col min="2826" max="2829" width="8.7109375" style="1" customWidth="1"/>
    <col min="2830" max="3072" width="9.5703125" style="1"/>
    <col min="3073" max="3073" width="4.5703125" style="1" customWidth="1"/>
    <col min="3074" max="3074" width="24.5703125" style="1" customWidth="1"/>
    <col min="3075" max="3075" width="5.7109375" style="1" customWidth="1"/>
    <col min="3076" max="3076" width="4.7109375" style="1" customWidth="1"/>
    <col min="3077" max="3077" width="10.7109375" style="1" customWidth="1"/>
    <col min="3078" max="3078" width="9.7109375" style="1" customWidth="1"/>
    <col min="3079" max="3079" width="2.85546875" style="1" customWidth="1"/>
    <col min="3080" max="3081" width="9.7109375" style="1" customWidth="1"/>
    <col min="3082" max="3085" width="8.7109375" style="1" customWidth="1"/>
    <col min="3086" max="3328" width="9.5703125" style="1"/>
    <col min="3329" max="3329" width="4.5703125" style="1" customWidth="1"/>
    <col min="3330" max="3330" width="24.5703125" style="1" customWidth="1"/>
    <col min="3331" max="3331" width="5.7109375" style="1" customWidth="1"/>
    <col min="3332" max="3332" width="4.7109375" style="1" customWidth="1"/>
    <col min="3333" max="3333" width="10.7109375" style="1" customWidth="1"/>
    <col min="3334" max="3334" width="9.7109375" style="1" customWidth="1"/>
    <col min="3335" max="3335" width="2.85546875" style="1" customWidth="1"/>
    <col min="3336" max="3337" width="9.7109375" style="1" customWidth="1"/>
    <col min="3338" max="3341" width="8.7109375" style="1" customWidth="1"/>
    <col min="3342" max="3584" width="9.5703125" style="1"/>
    <col min="3585" max="3585" width="4.5703125" style="1" customWidth="1"/>
    <col min="3586" max="3586" width="24.5703125" style="1" customWidth="1"/>
    <col min="3587" max="3587" width="5.7109375" style="1" customWidth="1"/>
    <col min="3588" max="3588" width="4.7109375" style="1" customWidth="1"/>
    <col min="3589" max="3589" width="10.7109375" style="1" customWidth="1"/>
    <col min="3590" max="3590" width="9.7109375" style="1" customWidth="1"/>
    <col min="3591" max="3591" width="2.85546875" style="1" customWidth="1"/>
    <col min="3592" max="3593" width="9.7109375" style="1" customWidth="1"/>
    <col min="3594" max="3597" width="8.7109375" style="1" customWidth="1"/>
    <col min="3598" max="3840" width="9.5703125" style="1"/>
    <col min="3841" max="3841" width="4.5703125" style="1" customWidth="1"/>
    <col min="3842" max="3842" width="24.5703125" style="1" customWidth="1"/>
    <col min="3843" max="3843" width="5.7109375" style="1" customWidth="1"/>
    <col min="3844" max="3844" width="4.7109375" style="1" customWidth="1"/>
    <col min="3845" max="3845" width="10.7109375" style="1" customWidth="1"/>
    <col min="3846" max="3846" width="9.7109375" style="1" customWidth="1"/>
    <col min="3847" max="3847" width="2.85546875" style="1" customWidth="1"/>
    <col min="3848" max="3849" width="9.7109375" style="1" customWidth="1"/>
    <col min="3850" max="3853" width="8.7109375" style="1" customWidth="1"/>
    <col min="3854" max="4096" width="9.5703125" style="1"/>
    <col min="4097" max="4097" width="4.5703125" style="1" customWidth="1"/>
    <col min="4098" max="4098" width="24.5703125" style="1" customWidth="1"/>
    <col min="4099" max="4099" width="5.7109375" style="1" customWidth="1"/>
    <col min="4100" max="4100" width="4.7109375" style="1" customWidth="1"/>
    <col min="4101" max="4101" width="10.7109375" style="1" customWidth="1"/>
    <col min="4102" max="4102" width="9.7109375" style="1" customWidth="1"/>
    <col min="4103" max="4103" width="2.85546875" style="1" customWidth="1"/>
    <col min="4104" max="4105" width="9.7109375" style="1" customWidth="1"/>
    <col min="4106" max="4109" width="8.7109375" style="1" customWidth="1"/>
    <col min="4110" max="4352" width="9.5703125" style="1"/>
    <col min="4353" max="4353" width="4.5703125" style="1" customWidth="1"/>
    <col min="4354" max="4354" width="24.5703125" style="1" customWidth="1"/>
    <col min="4355" max="4355" width="5.7109375" style="1" customWidth="1"/>
    <col min="4356" max="4356" width="4.7109375" style="1" customWidth="1"/>
    <col min="4357" max="4357" width="10.7109375" style="1" customWidth="1"/>
    <col min="4358" max="4358" width="9.7109375" style="1" customWidth="1"/>
    <col min="4359" max="4359" width="2.85546875" style="1" customWidth="1"/>
    <col min="4360" max="4361" width="9.7109375" style="1" customWidth="1"/>
    <col min="4362" max="4365" width="8.7109375" style="1" customWidth="1"/>
    <col min="4366" max="4608" width="9.5703125" style="1"/>
    <col min="4609" max="4609" width="4.5703125" style="1" customWidth="1"/>
    <col min="4610" max="4610" width="24.5703125" style="1" customWidth="1"/>
    <col min="4611" max="4611" width="5.7109375" style="1" customWidth="1"/>
    <col min="4612" max="4612" width="4.7109375" style="1" customWidth="1"/>
    <col min="4613" max="4613" width="10.7109375" style="1" customWidth="1"/>
    <col min="4614" max="4614" width="9.7109375" style="1" customWidth="1"/>
    <col min="4615" max="4615" width="2.85546875" style="1" customWidth="1"/>
    <col min="4616" max="4617" width="9.7109375" style="1" customWidth="1"/>
    <col min="4618" max="4621" width="8.7109375" style="1" customWidth="1"/>
    <col min="4622" max="4864" width="9.5703125" style="1"/>
    <col min="4865" max="4865" width="4.5703125" style="1" customWidth="1"/>
    <col min="4866" max="4866" width="24.5703125" style="1" customWidth="1"/>
    <col min="4867" max="4867" width="5.7109375" style="1" customWidth="1"/>
    <col min="4868" max="4868" width="4.7109375" style="1" customWidth="1"/>
    <col min="4869" max="4869" width="10.7109375" style="1" customWidth="1"/>
    <col min="4870" max="4870" width="9.7109375" style="1" customWidth="1"/>
    <col min="4871" max="4871" width="2.85546875" style="1" customWidth="1"/>
    <col min="4872" max="4873" width="9.7109375" style="1" customWidth="1"/>
    <col min="4874" max="4877" width="8.7109375" style="1" customWidth="1"/>
    <col min="4878" max="5120" width="9.5703125" style="1"/>
    <col min="5121" max="5121" width="4.5703125" style="1" customWidth="1"/>
    <col min="5122" max="5122" width="24.5703125" style="1" customWidth="1"/>
    <col min="5123" max="5123" width="5.7109375" style="1" customWidth="1"/>
    <col min="5124" max="5124" width="4.7109375" style="1" customWidth="1"/>
    <col min="5125" max="5125" width="10.7109375" style="1" customWidth="1"/>
    <col min="5126" max="5126" width="9.7109375" style="1" customWidth="1"/>
    <col min="5127" max="5127" width="2.85546875" style="1" customWidth="1"/>
    <col min="5128" max="5129" width="9.7109375" style="1" customWidth="1"/>
    <col min="5130" max="5133" width="8.7109375" style="1" customWidth="1"/>
    <col min="5134" max="5376" width="9.5703125" style="1"/>
    <col min="5377" max="5377" width="4.5703125" style="1" customWidth="1"/>
    <col min="5378" max="5378" width="24.5703125" style="1" customWidth="1"/>
    <col min="5379" max="5379" width="5.7109375" style="1" customWidth="1"/>
    <col min="5380" max="5380" width="4.7109375" style="1" customWidth="1"/>
    <col min="5381" max="5381" width="10.7109375" style="1" customWidth="1"/>
    <col min="5382" max="5382" width="9.7109375" style="1" customWidth="1"/>
    <col min="5383" max="5383" width="2.85546875" style="1" customWidth="1"/>
    <col min="5384" max="5385" width="9.7109375" style="1" customWidth="1"/>
    <col min="5386" max="5389" width="8.7109375" style="1" customWidth="1"/>
    <col min="5390" max="5632" width="9.5703125" style="1"/>
    <col min="5633" max="5633" width="4.5703125" style="1" customWidth="1"/>
    <col min="5634" max="5634" width="24.5703125" style="1" customWidth="1"/>
    <col min="5635" max="5635" width="5.7109375" style="1" customWidth="1"/>
    <col min="5636" max="5636" width="4.7109375" style="1" customWidth="1"/>
    <col min="5637" max="5637" width="10.7109375" style="1" customWidth="1"/>
    <col min="5638" max="5638" width="9.7109375" style="1" customWidth="1"/>
    <col min="5639" max="5639" width="2.85546875" style="1" customWidth="1"/>
    <col min="5640" max="5641" width="9.7109375" style="1" customWidth="1"/>
    <col min="5642" max="5645" width="8.7109375" style="1" customWidth="1"/>
    <col min="5646" max="5888" width="9.5703125" style="1"/>
    <col min="5889" max="5889" width="4.5703125" style="1" customWidth="1"/>
    <col min="5890" max="5890" width="24.5703125" style="1" customWidth="1"/>
    <col min="5891" max="5891" width="5.7109375" style="1" customWidth="1"/>
    <col min="5892" max="5892" width="4.7109375" style="1" customWidth="1"/>
    <col min="5893" max="5893" width="10.7109375" style="1" customWidth="1"/>
    <col min="5894" max="5894" width="9.7109375" style="1" customWidth="1"/>
    <col min="5895" max="5895" width="2.85546875" style="1" customWidth="1"/>
    <col min="5896" max="5897" width="9.7109375" style="1" customWidth="1"/>
    <col min="5898" max="5901" width="8.7109375" style="1" customWidth="1"/>
    <col min="5902" max="6144" width="9.5703125" style="1"/>
    <col min="6145" max="6145" width="4.5703125" style="1" customWidth="1"/>
    <col min="6146" max="6146" width="24.5703125" style="1" customWidth="1"/>
    <col min="6147" max="6147" width="5.7109375" style="1" customWidth="1"/>
    <col min="6148" max="6148" width="4.7109375" style="1" customWidth="1"/>
    <col min="6149" max="6149" width="10.7109375" style="1" customWidth="1"/>
    <col min="6150" max="6150" width="9.7109375" style="1" customWidth="1"/>
    <col min="6151" max="6151" width="2.85546875" style="1" customWidth="1"/>
    <col min="6152" max="6153" width="9.7109375" style="1" customWidth="1"/>
    <col min="6154" max="6157" width="8.7109375" style="1" customWidth="1"/>
    <col min="6158" max="6400" width="9.5703125" style="1"/>
    <col min="6401" max="6401" width="4.5703125" style="1" customWidth="1"/>
    <col min="6402" max="6402" width="24.5703125" style="1" customWidth="1"/>
    <col min="6403" max="6403" width="5.7109375" style="1" customWidth="1"/>
    <col min="6404" max="6404" width="4.7109375" style="1" customWidth="1"/>
    <col min="6405" max="6405" width="10.7109375" style="1" customWidth="1"/>
    <col min="6406" max="6406" width="9.7109375" style="1" customWidth="1"/>
    <col min="6407" max="6407" width="2.85546875" style="1" customWidth="1"/>
    <col min="6408" max="6409" width="9.7109375" style="1" customWidth="1"/>
    <col min="6410" max="6413" width="8.7109375" style="1" customWidth="1"/>
    <col min="6414" max="6656" width="9.5703125" style="1"/>
    <col min="6657" max="6657" width="4.5703125" style="1" customWidth="1"/>
    <col min="6658" max="6658" width="24.5703125" style="1" customWidth="1"/>
    <col min="6659" max="6659" width="5.7109375" style="1" customWidth="1"/>
    <col min="6660" max="6660" width="4.7109375" style="1" customWidth="1"/>
    <col min="6661" max="6661" width="10.7109375" style="1" customWidth="1"/>
    <col min="6662" max="6662" width="9.7109375" style="1" customWidth="1"/>
    <col min="6663" max="6663" width="2.85546875" style="1" customWidth="1"/>
    <col min="6664" max="6665" width="9.7109375" style="1" customWidth="1"/>
    <col min="6666" max="6669" width="8.7109375" style="1" customWidth="1"/>
    <col min="6670" max="6912" width="9.5703125" style="1"/>
    <col min="6913" max="6913" width="4.5703125" style="1" customWidth="1"/>
    <col min="6914" max="6914" width="24.5703125" style="1" customWidth="1"/>
    <col min="6915" max="6915" width="5.7109375" style="1" customWidth="1"/>
    <col min="6916" max="6916" width="4.7109375" style="1" customWidth="1"/>
    <col min="6917" max="6917" width="10.7109375" style="1" customWidth="1"/>
    <col min="6918" max="6918" width="9.7109375" style="1" customWidth="1"/>
    <col min="6919" max="6919" width="2.85546875" style="1" customWidth="1"/>
    <col min="6920" max="6921" width="9.7109375" style="1" customWidth="1"/>
    <col min="6922" max="6925" width="8.7109375" style="1" customWidth="1"/>
    <col min="6926" max="7168" width="9.5703125" style="1"/>
    <col min="7169" max="7169" width="4.5703125" style="1" customWidth="1"/>
    <col min="7170" max="7170" width="24.5703125" style="1" customWidth="1"/>
    <col min="7171" max="7171" width="5.7109375" style="1" customWidth="1"/>
    <col min="7172" max="7172" width="4.7109375" style="1" customWidth="1"/>
    <col min="7173" max="7173" width="10.7109375" style="1" customWidth="1"/>
    <col min="7174" max="7174" width="9.7109375" style="1" customWidth="1"/>
    <col min="7175" max="7175" width="2.85546875" style="1" customWidth="1"/>
    <col min="7176" max="7177" width="9.7109375" style="1" customWidth="1"/>
    <col min="7178" max="7181" width="8.7109375" style="1" customWidth="1"/>
    <col min="7182" max="7424" width="9.5703125" style="1"/>
    <col min="7425" max="7425" width="4.5703125" style="1" customWidth="1"/>
    <col min="7426" max="7426" width="24.5703125" style="1" customWidth="1"/>
    <col min="7427" max="7427" width="5.7109375" style="1" customWidth="1"/>
    <col min="7428" max="7428" width="4.7109375" style="1" customWidth="1"/>
    <col min="7429" max="7429" width="10.7109375" style="1" customWidth="1"/>
    <col min="7430" max="7430" width="9.7109375" style="1" customWidth="1"/>
    <col min="7431" max="7431" width="2.85546875" style="1" customWidth="1"/>
    <col min="7432" max="7433" width="9.7109375" style="1" customWidth="1"/>
    <col min="7434" max="7437" width="8.7109375" style="1" customWidth="1"/>
    <col min="7438" max="7680" width="9.5703125" style="1"/>
    <col min="7681" max="7681" width="4.5703125" style="1" customWidth="1"/>
    <col min="7682" max="7682" width="24.5703125" style="1" customWidth="1"/>
    <col min="7683" max="7683" width="5.7109375" style="1" customWidth="1"/>
    <col min="7684" max="7684" width="4.7109375" style="1" customWidth="1"/>
    <col min="7685" max="7685" width="10.7109375" style="1" customWidth="1"/>
    <col min="7686" max="7686" width="9.7109375" style="1" customWidth="1"/>
    <col min="7687" max="7687" width="2.85546875" style="1" customWidth="1"/>
    <col min="7688" max="7689" width="9.7109375" style="1" customWidth="1"/>
    <col min="7690" max="7693" width="8.7109375" style="1" customWidth="1"/>
    <col min="7694" max="7936" width="9.5703125" style="1"/>
    <col min="7937" max="7937" width="4.5703125" style="1" customWidth="1"/>
    <col min="7938" max="7938" width="24.5703125" style="1" customWidth="1"/>
    <col min="7939" max="7939" width="5.7109375" style="1" customWidth="1"/>
    <col min="7940" max="7940" width="4.7109375" style="1" customWidth="1"/>
    <col min="7941" max="7941" width="10.7109375" style="1" customWidth="1"/>
    <col min="7942" max="7942" width="9.7109375" style="1" customWidth="1"/>
    <col min="7943" max="7943" width="2.85546875" style="1" customWidth="1"/>
    <col min="7944" max="7945" width="9.7109375" style="1" customWidth="1"/>
    <col min="7946" max="7949" width="8.7109375" style="1" customWidth="1"/>
    <col min="7950" max="8192" width="9.5703125" style="1"/>
    <col min="8193" max="8193" width="4.5703125" style="1" customWidth="1"/>
    <col min="8194" max="8194" width="24.5703125" style="1" customWidth="1"/>
    <col min="8195" max="8195" width="5.7109375" style="1" customWidth="1"/>
    <col min="8196" max="8196" width="4.7109375" style="1" customWidth="1"/>
    <col min="8197" max="8197" width="10.7109375" style="1" customWidth="1"/>
    <col min="8198" max="8198" width="9.7109375" style="1" customWidth="1"/>
    <col min="8199" max="8199" width="2.85546875" style="1" customWidth="1"/>
    <col min="8200" max="8201" width="9.7109375" style="1" customWidth="1"/>
    <col min="8202" max="8205" width="8.7109375" style="1" customWidth="1"/>
    <col min="8206" max="8448" width="9.5703125" style="1"/>
    <col min="8449" max="8449" width="4.5703125" style="1" customWidth="1"/>
    <col min="8450" max="8450" width="24.5703125" style="1" customWidth="1"/>
    <col min="8451" max="8451" width="5.7109375" style="1" customWidth="1"/>
    <col min="8452" max="8452" width="4.7109375" style="1" customWidth="1"/>
    <col min="8453" max="8453" width="10.7109375" style="1" customWidth="1"/>
    <col min="8454" max="8454" width="9.7109375" style="1" customWidth="1"/>
    <col min="8455" max="8455" width="2.85546875" style="1" customWidth="1"/>
    <col min="8456" max="8457" width="9.7109375" style="1" customWidth="1"/>
    <col min="8458" max="8461" width="8.7109375" style="1" customWidth="1"/>
    <col min="8462" max="8704" width="9.5703125" style="1"/>
    <col min="8705" max="8705" width="4.5703125" style="1" customWidth="1"/>
    <col min="8706" max="8706" width="24.5703125" style="1" customWidth="1"/>
    <col min="8707" max="8707" width="5.7109375" style="1" customWidth="1"/>
    <col min="8708" max="8708" width="4.7109375" style="1" customWidth="1"/>
    <col min="8709" max="8709" width="10.7109375" style="1" customWidth="1"/>
    <col min="8710" max="8710" width="9.7109375" style="1" customWidth="1"/>
    <col min="8711" max="8711" width="2.85546875" style="1" customWidth="1"/>
    <col min="8712" max="8713" width="9.7109375" style="1" customWidth="1"/>
    <col min="8714" max="8717" width="8.7109375" style="1" customWidth="1"/>
    <col min="8718" max="8960" width="9.5703125" style="1"/>
    <col min="8961" max="8961" width="4.5703125" style="1" customWidth="1"/>
    <col min="8962" max="8962" width="24.5703125" style="1" customWidth="1"/>
    <col min="8963" max="8963" width="5.7109375" style="1" customWidth="1"/>
    <col min="8964" max="8964" width="4.7109375" style="1" customWidth="1"/>
    <col min="8965" max="8965" width="10.7109375" style="1" customWidth="1"/>
    <col min="8966" max="8966" width="9.7109375" style="1" customWidth="1"/>
    <col min="8967" max="8967" width="2.85546875" style="1" customWidth="1"/>
    <col min="8968" max="8969" width="9.7109375" style="1" customWidth="1"/>
    <col min="8970" max="8973" width="8.7109375" style="1" customWidth="1"/>
    <col min="8974" max="9216" width="9.5703125" style="1"/>
    <col min="9217" max="9217" width="4.5703125" style="1" customWidth="1"/>
    <col min="9218" max="9218" width="24.5703125" style="1" customWidth="1"/>
    <col min="9219" max="9219" width="5.7109375" style="1" customWidth="1"/>
    <col min="9220" max="9220" width="4.7109375" style="1" customWidth="1"/>
    <col min="9221" max="9221" width="10.7109375" style="1" customWidth="1"/>
    <col min="9222" max="9222" width="9.7109375" style="1" customWidth="1"/>
    <col min="9223" max="9223" width="2.85546875" style="1" customWidth="1"/>
    <col min="9224" max="9225" width="9.7109375" style="1" customWidth="1"/>
    <col min="9226" max="9229" width="8.7109375" style="1" customWidth="1"/>
    <col min="9230" max="9472" width="9.5703125" style="1"/>
    <col min="9473" max="9473" width="4.5703125" style="1" customWidth="1"/>
    <col min="9474" max="9474" width="24.5703125" style="1" customWidth="1"/>
    <col min="9475" max="9475" width="5.7109375" style="1" customWidth="1"/>
    <col min="9476" max="9476" width="4.7109375" style="1" customWidth="1"/>
    <col min="9477" max="9477" width="10.7109375" style="1" customWidth="1"/>
    <col min="9478" max="9478" width="9.7109375" style="1" customWidth="1"/>
    <col min="9479" max="9479" width="2.85546875" style="1" customWidth="1"/>
    <col min="9480" max="9481" width="9.7109375" style="1" customWidth="1"/>
    <col min="9482" max="9485" width="8.7109375" style="1" customWidth="1"/>
    <col min="9486" max="9728" width="9.5703125" style="1"/>
    <col min="9729" max="9729" width="4.5703125" style="1" customWidth="1"/>
    <col min="9730" max="9730" width="24.5703125" style="1" customWidth="1"/>
    <col min="9731" max="9731" width="5.7109375" style="1" customWidth="1"/>
    <col min="9732" max="9732" width="4.7109375" style="1" customWidth="1"/>
    <col min="9733" max="9733" width="10.7109375" style="1" customWidth="1"/>
    <col min="9734" max="9734" width="9.7109375" style="1" customWidth="1"/>
    <col min="9735" max="9735" width="2.85546875" style="1" customWidth="1"/>
    <col min="9736" max="9737" width="9.7109375" style="1" customWidth="1"/>
    <col min="9738" max="9741" width="8.7109375" style="1" customWidth="1"/>
    <col min="9742" max="9984" width="9.5703125" style="1"/>
    <col min="9985" max="9985" width="4.5703125" style="1" customWidth="1"/>
    <col min="9986" max="9986" width="24.5703125" style="1" customWidth="1"/>
    <col min="9987" max="9987" width="5.7109375" style="1" customWidth="1"/>
    <col min="9988" max="9988" width="4.7109375" style="1" customWidth="1"/>
    <col min="9989" max="9989" width="10.7109375" style="1" customWidth="1"/>
    <col min="9990" max="9990" width="9.7109375" style="1" customWidth="1"/>
    <col min="9991" max="9991" width="2.85546875" style="1" customWidth="1"/>
    <col min="9992" max="9993" width="9.7109375" style="1" customWidth="1"/>
    <col min="9994" max="9997" width="8.7109375" style="1" customWidth="1"/>
    <col min="9998" max="10240" width="9.5703125" style="1"/>
    <col min="10241" max="10241" width="4.5703125" style="1" customWidth="1"/>
    <col min="10242" max="10242" width="24.5703125" style="1" customWidth="1"/>
    <col min="10243" max="10243" width="5.7109375" style="1" customWidth="1"/>
    <col min="10244" max="10244" width="4.7109375" style="1" customWidth="1"/>
    <col min="10245" max="10245" width="10.7109375" style="1" customWidth="1"/>
    <col min="10246" max="10246" width="9.7109375" style="1" customWidth="1"/>
    <col min="10247" max="10247" width="2.85546875" style="1" customWidth="1"/>
    <col min="10248" max="10249" width="9.7109375" style="1" customWidth="1"/>
    <col min="10250" max="10253" width="8.7109375" style="1" customWidth="1"/>
    <col min="10254" max="10496" width="9.5703125" style="1"/>
    <col min="10497" max="10497" width="4.5703125" style="1" customWidth="1"/>
    <col min="10498" max="10498" width="24.5703125" style="1" customWidth="1"/>
    <col min="10499" max="10499" width="5.7109375" style="1" customWidth="1"/>
    <col min="10500" max="10500" width="4.7109375" style="1" customWidth="1"/>
    <col min="10501" max="10501" width="10.7109375" style="1" customWidth="1"/>
    <col min="10502" max="10502" width="9.7109375" style="1" customWidth="1"/>
    <col min="10503" max="10503" width="2.85546875" style="1" customWidth="1"/>
    <col min="10504" max="10505" width="9.7109375" style="1" customWidth="1"/>
    <col min="10506" max="10509" width="8.7109375" style="1" customWidth="1"/>
    <col min="10510" max="10752" width="9.5703125" style="1"/>
    <col min="10753" max="10753" width="4.5703125" style="1" customWidth="1"/>
    <col min="10754" max="10754" width="24.5703125" style="1" customWidth="1"/>
    <col min="10755" max="10755" width="5.7109375" style="1" customWidth="1"/>
    <col min="10756" max="10756" width="4.7109375" style="1" customWidth="1"/>
    <col min="10757" max="10757" width="10.7109375" style="1" customWidth="1"/>
    <col min="10758" max="10758" width="9.7109375" style="1" customWidth="1"/>
    <col min="10759" max="10759" width="2.85546875" style="1" customWidth="1"/>
    <col min="10760" max="10761" width="9.7109375" style="1" customWidth="1"/>
    <col min="10762" max="10765" width="8.7109375" style="1" customWidth="1"/>
    <col min="10766" max="11008" width="9.5703125" style="1"/>
    <col min="11009" max="11009" width="4.5703125" style="1" customWidth="1"/>
    <col min="11010" max="11010" width="24.5703125" style="1" customWidth="1"/>
    <col min="11011" max="11011" width="5.7109375" style="1" customWidth="1"/>
    <col min="11012" max="11012" width="4.7109375" style="1" customWidth="1"/>
    <col min="11013" max="11013" width="10.7109375" style="1" customWidth="1"/>
    <col min="11014" max="11014" width="9.7109375" style="1" customWidth="1"/>
    <col min="11015" max="11015" width="2.85546875" style="1" customWidth="1"/>
    <col min="11016" max="11017" width="9.7109375" style="1" customWidth="1"/>
    <col min="11018" max="11021" width="8.7109375" style="1" customWidth="1"/>
    <col min="11022" max="11264" width="9.5703125" style="1"/>
    <col min="11265" max="11265" width="4.5703125" style="1" customWidth="1"/>
    <col min="11266" max="11266" width="24.5703125" style="1" customWidth="1"/>
    <col min="11267" max="11267" width="5.7109375" style="1" customWidth="1"/>
    <col min="11268" max="11268" width="4.7109375" style="1" customWidth="1"/>
    <col min="11269" max="11269" width="10.7109375" style="1" customWidth="1"/>
    <col min="11270" max="11270" width="9.7109375" style="1" customWidth="1"/>
    <col min="11271" max="11271" width="2.85546875" style="1" customWidth="1"/>
    <col min="11272" max="11273" width="9.7109375" style="1" customWidth="1"/>
    <col min="11274" max="11277" width="8.7109375" style="1" customWidth="1"/>
    <col min="11278" max="11520" width="9.5703125" style="1"/>
    <col min="11521" max="11521" width="4.5703125" style="1" customWidth="1"/>
    <col min="11522" max="11522" width="24.5703125" style="1" customWidth="1"/>
    <col min="11523" max="11523" width="5.7109375" style="1" customWidth="1"/>
    <col min="11524" max="11524" width="4.7109375" style="1" customWidth="1"/>
    <col min="11525" max="11525" width="10.7109375" style="1" customWidth="1"/>
    <col min="11526" max="11526" width="9.7109375" style="1" customWidth="1"/>
    <col min="11527" max="11527" width="2.85546875" style="1" customWidth="1"/>
    <col min="11528" max="11529" width="9.7109375" style="1" customWidth="1"/>
    <col min="11530" max="11533" width="8.7109375" style="1" customWidth="1"/>
    <col min="11534" max="11776" width="9.5703125" style="1"/>
    <col min="11777" max="11777" width="4.5703125" style="1" customWidth="1"/>
    <col min="11778" max="11778" width="24.5703125" style="1" customWidth="1"/>
    <col min="11779" max="11779" width="5.7109375" style="1" customWidth="1"/>
    <col min="11780" max="11780" width="4.7109375" style="1" customWidth="1"/>
    <col min="11781" max="11781" width="10.7109375" style="1" customWidth="1"/>
    <col min="11782" max="11782" width="9.7109375" style="1" customWidth="1"/>
    <col min="11783" max="11783" width="2.85546875" style="1" customWidth="1"/>
    <col min="11784" max="11785" width="9.7109375" style="1" customWidth="1"/>
    <col min="11786" max="11789" width="8.7109375" style="1" customWidth="1"/>
    <col min="11790" max="12032" width="9.5703125" style="1"/>
    <col min="12033" max="12033" width="4.5703125" style="1" customWidth="1"/>
    <col min="12034" max="12034" width="24.5703125" style="1" customWidth="1"/>
    <col min="12035" max="12035" width="5.7109375" style="1" customWidth="1"/>
    <col min="12036" max="12036" width="4.7109375" style="1" customWidth="1"/>
    <col min="12037" max="12037" width="10.7109375" style="1" customWidth="1"/>
    <col min="12038" max="12038" width="9.7109375" style="1" customWidth="1"/>
    <col min="12039" max="12039" width="2.85546875" style="1" customWidth="1"/>
    <col min="12040" max="12041" width="9.7109375" style="1" customWidth="1"/>
    <col min="12042" max="12045" width="8.7109375" style="1" customWidth="1"/>
    <col min="12046" max="12288" width="9.5703125" style="1"/>
    <col min="12289" max="12289" width="4.5703125" style="1" customWidth="1"/>
    <col min="12290" max="12290" width="24.5703125" style="1" customWidth="1"/>
    <col min="12291" max="12291" width="5.7109375" style="1" customWidth="1"/>
    <col min="12292" max="12292" width="4.7109375" style="1" customWidth="1"/>
    <col min="12293" max="12293" width="10.7109375" style="1" customWidth="1"/>
    <col min="12294" max="12294" width="9.7109375" style="1" customWidth="1"/>
    <col min="12295" max="12295" width="2.85546875" style="1" customWidth="1"/>
    <col min="12296" max="12297" width="9.7109375" style="1" customWidth="1"/>
    <col min="12298" max="12301" width="8.7109375" style="1" customWidth="1"/>
    <col min="12302" max="12544" width="9.5703125" style="1"/>
    <col min="12545" max="12545" width="4.5703125" style="1" customWidth="1"/>
    <col min="12546" max="12546" width="24.5703125" style="1" customWidth="1"/>
    <col min="12547" max="12547" width="5.7109375" style="1" customWidth="1"/>
    <col min="12548" max="12548" width="4.7109375" style="1" customWidth="1"/>
    <col min="12549" max="12549" width="10.7109375" style="1" customWidth="1"/>
    <col min="12550" max="12550" width="9.7109375" style="1" customWidth="1"/>
    <col min="12551" max="12551" width="2.85546875" style="1" customWidth="1"/>
    <col min="12552" max="12553" width="9.7109375" style="1" customWidth="1"/>
    <col min="12554" max="12557" width="8.7109375" style="1" customWidth="1"/>
    <col min="12558" max="12800" width="9.5703125" style="1"/>
    <col min="12801" max="12801" width="4.5703125" style="1" customWidth="1"/>
    <col min="12802" max="12802" width="24.5703125" style="1" customWidth="1"/>
    <col min="12803" max="12803" width="5.7109375" style="1" customWidth="1"/>
    <col min="12804" max="12804" width="4.7109375" style="1" customWidth="1"/>
    <col min="12805" max="12805" width="10.7109375" style="1" customWidth="1"/>
    <col min="12806" max="12806" width="9.7109375" style="1" customWidth="1"/>
    <col min="12807" max="12807" width="2.85546875" style="1" customWidth="1"/>
    <col min="12808" max="12809" width="9.7109375" style="1" customWidth="1"/>
    <col min="12810" max="12813" width="8.7109375" style="1" customWidth="1"/>
    <col min="12814" max="13056" width="9.5703125" style="1"/>
    <col min="13057" max="13057" width="4.5703125" style="1" customWidth="1"/>
    <col min="13058" max="13058" width="24.5703125" style="1" customWidth="1"/>
    <col min="13059" max="13059" width="5.7109375" style="1" customWidth="1"/>
    <col min="13060" max="13060" width="4.7109375" style="1" customWidth="1"/>
    <col min="13061" max="13061" width="10.7109375" style="1" customWidth="1"/>
    <col min="13062" max="13062" width="9.7109375" style="1" customWidth="1"/>
    <col min="13063" max="13063" width="2.85546875" style="1" customWidth="1"/>
    <col min="13064" max="13065" width="9.7109375" style="1" customWidth="1"/>
    <col min="13066" max="13069" width="8.7109375" style="1" customWidth="1"/>
    <col min="13070" max="13312" width="9.5703125" style="1"/>
    <col min="13313" max="13313" width="4.5703125" style="1" customWidth="1"/>
    <col min="13314" max="13314" width="24.5703125" style="1" customWidth="1"/>
    <col min="13315" max="13315" width="5.7109375" style="1" customWidth="1"/>
    <col min="13316" max="13316" width="4.7109375" style="1" customWidth="1"/>
    <col min="13317" max="13317" width="10.7109375" style="1" customWidth="1"/>
    <col min="13318" max="13318" width="9.7109375" style="1" customWidth="1"/>
    <col min="13319" max="13319" width="2.85546875" style="1" customWidth="1"/>
    <col min="13320" max="13321" width="9.7109375" style="1" customWidth="1"/>
    <col min="13322" max="13325" width="8.7109375" style="1" customWidth="1"/>
    <col min="13326" max="13568" width="9.5703125" style="1"/>
    <col min="13569" max="13569" width="4.5703125" style="1" customWidth="1"/>
    <col min="13570" max="13570" width="24.5703125" style="1" customWidth="1"/>
    <col min="13571" max="13571" width="5.7109375" style="1" customWidth="1"/>
    <col min="13572" max="13572" width="4.7109375" style="1" customWidth="1"/>
    <col min="13573" max="13573" width="10.7109375" style="1" customWidth="1"/>
    <col min="13574" max="13574" width="9.7109375" style="1" customWidth="1"/>
    <col min="13575" max="13575" width="2.85546875" style="1" customWidth="1"/>
    <col min="13576" max="13577" width="9.7109375" style="1" customWidth="1"/>
    <col min="13578" max="13581" width="8.7109375" style="1" customWidth="1"/>
    <col min="13582" max="13824" width="9.5703125" style="1"/>
    <col min="13825" max="13825" width="4.5703125" style="1" customWidth="1"/>
    <col min="13826" max="13826" width="24.5703125" style="1" customWidth="1"/>
    <col min="13827" max="13827" width="5.7109375" style="1" customWidth="1"/>
    <col min="13828" max="13828" width="4.7109375" style="1" customWidth="1"/>
    <col min="13829" max="13829" width="10.7109375" style="1" customWidth="1"/>
    <col min="13830" max="13830" width="9.7109375" style="1" customWidth="1"/>
    <col min="13831" max="13831" width="2.85546875" style="1" customWidth="1"/>
    <col min="13832" max="13833" width="9.7109375" style="1" customWidth="1"/>
    <col min="13834" max="13837" width="8.7109375" style="1" customWidth="1"/>
    <col min="13838" max="14080" width="9.5703125" style="1"/>
    <col min="14081" max="14081" width="4.5703125" style="1" customWidth="1"/>
    <col min="14082" max="14082" width="24.5703125" style="1" customWidth="1"/>
    <col min="14083" max="14083" width="5.7109375" style="1" customWidth="1"/>
    <col min="14084" max="14084" width="4.7109375" style="1" customWidth="1"/>
    <col min="14085" max="14085" width="10.7109375" style="1" customWidth="1"/>
    <col min="14086" max="14086" width="9.7109375" style="1" customWidth="1"/>
    <col min="14087" max="14087" width="2.85546875" style="1" customWidth="1"/>
    <col min="14088" max="14089" width="9.7109375" style="1" customWidth="1"/>
    <col min="14090" max="14093" width="8.7109375" style="1" customWidth="1"/>
    <col min="14094" max="14336" width="9.5703125" style="1"/>
    <col min="14337" max="14337" width="4.5703125" style="1" customWidth="1"/>
    <col min="14338" max="14338" width="24.5703125" style="1" customWidth="1"/>
    <col min="14339" max="14339" width="5.7109375" style="1" customWidth="1"/>
    <col min="14340" max="14340" width="4.7109375" style="1" customWidth="1"/>
    <col min="14341" max="14341" width="10.7109375" style="1" customWidth="1"/>
    <col min="14342" max="14342" width="9.7109375" style="1" customWidth="1"/>
    <col min="14343" max="14343" width="2.85546875" style="1" customWidth="1"/>
    <col min="14344" max="14345" width="9.7109375" style="1" customWidth="1"/>
    <col min="14346" max="14349" width="8.7109375" style="1" customWidth="1"/>
    <col min="14350" max="14592" width="9.5703125" style="1"/>
    <col min="14593" max="14593" width="4.5703125" style="1" customWidth="1"/>
    <col min="14594" max="14594" width="24.5703125" style="1" customWidth="1"/>
    <col min="14595" max="14595" width="5.7109375" style="1" customWidth="1"/>
    <col min="14596" max="14596" width="4.7109375" style="1" customWidth="1"/>
    <col min="14597" max="14597" width="10.7109375" style="1" customWidth="1"/>
    <col min="14598" max="14598" width="9.7109375" style="1" customWidth="1"/>
    <col min="14599" max="14599" width="2.85546875" style="1" customWidth="1"/>
    <col min="14600" max="14601" width="9.7109375" style="1" customWidth="1"/>
    <col min="14602" max="14605" width="8.7109375" style="1" customWidth="1"/>
    <col min="14606" max="14848" width="9.5703125" style="1"/>
    <col min="14849" max="14849" width="4.5703125" style="1" customWidth="1"/>
    <col min="14850" max="14850" width="24.5703125" style="1" customWidth="1"/>
    <col min="14851" max="14851" width="5.7109375" style="1" customWidth="1"/>
    <col min="14852" max="14852" width="4.7109375" style="1" customWidth="1"/>
    <col min="14853" max="14853" width="10.7109375" style="1" customWidth="1"/>
    <col min="14854" max="14854" width="9.7109375" style="1" customWidth="1"/>
    <col min="14855" max="14855" width="2.85546875" style="1" customWidth="1"/>
    <col min="14856" max="14857" width="9.7109375" style="1" customWidth="1"/>
    <col min="14858" max="14861" width="8.7109375" style="1" customWidth="1"/>
    <col min="14862" max="15104" width="9.5703125" style="1"/>
    <col min="15105" max="15105" width="4.5703125" style="1" customWidth="1"/>
    <col min="15106" max="15106" width="24.5703125" style="1" customWidth="1"/>
    <col min="15107" max="15107" width="5.7109375" style="1" customWidth="1"/>
    <col min="15108" max="15108" width="4.7109375" style="1" customWidth="1"/>
    <col min="15109" max="15109" width="10.7109375" style="1" customWidth="1"/>
    <col min="15110" max="15110" width="9.7109375" style="1" customWidth="1"/>
    <col min="15111" max="15111" width="2.85546875" style="1" customWidth="1"/>
    <col min="15112" max="15113" width="9.7109375" style="1" customWidth="1"/>
    <col min="15114" max="15117" width="8.7109375" style="1" customWidth="1"/>
    <col min="15118" max="15360" width="9.5703125" style="1"/>
    <col min="15361" max="15361" width="4.5703125" style="1" customWidth="1"/>
    <col min="15362" max="15362" width="24.5703125" style="1" customWidth="1"/>
    <col min="15363" max="15363" width="5.7109375" style="1" customWidth="1"/>
    <col min="15364" max="15364" width="4.7109375" style="1" customWidth="1"/>
    <col min="15365" max="15365" width="10.7109375" style="1" customWidth="1"/>
    <col min="15366" max="15366" width="9.7109375" style="1" customWidth="1"/>
    <col min="15367" max="15367" width="2.85546875" style="1" customWidth="1"/>
    <col min="15368" max="15369" width="9.7109375" style="1" customWidth="1"/>
    <col min="15370" max="15373" width="8.7109375" style="1" customWidth="1"/>
    <col min="15374" max="15616" width="9.5703125" style="1"/>
    <col min="15617" max="15617" width="4.5703125" style="1" customWidth="1"/>
    <col min="15618" max="15618" width="24.5703125" style="1" customWidth="1"/>
    <col min="15619" max="15619" width="5.7109375" style="1" customWidth="1"/>
    <col min="15620" max="15620" width="4.7109375" style="1" customWidth="1"/>
    <col min="15621" max="15621" width="10.7109375" style="1" customWidth="1"/>
    <col min="15622" max="15622" width="9.7109375" style="1" customWidth="1"/>
    <col min="15623" max="15623" width="2.85546875" style="1" customWidth="1"/>
    <col min="15624" max="15625" width="9.7109375" style="1" customWidth="1"/>
    <col min="15626" max="15629" width="8.7109375" style="1" customWidth="1"/>
    <col min="15630" max="15872" width="9.5703125" style="1"/>
    <col min="15873" max="15873" width="4.5703125" style="1" customWidth="1"/>
    <col min="15874" max="15874" width="24.5703125" style="1" customWidth="1"/>
    <col min="15875" max="15875" width="5.7109375" style="1" customWidth="1"/>
    <col min="15876" max="15876" width="4.7109375" style="1" customWidth="1"/>
    <col min="15877" max="15877" width="10.7109375" style="1" customWidth="1"/>
    <col min="15878" max="15878" width="9.7109375" style="1" customWidth="1"/>
    <col min="15879" max="15879" width="2.85546875" style="1" customWidth="1"/>
    <col min="15880" max="15881" width="9.7109375" style="1" customWidth="1"/>
    <col min="15882" max="15885" width="8.7109375" style="1" customWidth="1"/>
    <col min="15886" max="16128" width="9.5703125" style="1"/>
    <col min="16129" max="16129" width="4.5703125" style="1" customWidth="1"/>
    <col min="16130" max="16130" width="24.5703125" style="1" customWidth="1"/>
    <col min="16131" max="16131" width="5.7109375" style="1" customWidth="1"/>
    <col min="16132" max="16132" width="4.7109375" style="1" customWidth="1"/>
    <col min="16133" max="16133" width="10.7109375" style="1" customWidth="1"/>
    <col min="16134" max="16134" width="9.7109375" style="1" customWidth="1"/>
    <col min="16135" max="16135" width="2.85546875" style="1" customWidth="1"/>
    <col min="16136" max="16137" width="9.7109375" style="1" customWidth="1"/>
    <col min="16138" max="16141" width="8.7109375" style="1" customWidth="1"/>
    <col min="16142" max="16384" width="9.5703125" style="1"/>
  </cols>
  <sheetData>
    <row r="1" spans="1:15" ht="18">
      <c r="A1" s="619" t="s">
        <v>289</v>
      </c>
      <c r="B1" s="335"/>
      <c r="H1" s="336" t="s">
        <v>122</v>
      </c>
      <c r="I1" s="337">
        <v>3.4</v>
      </c>
      <c r="K1" s="338" t="s">
        <v>123</v>
      </c>
      <c r="L1" s="339">
        <v>42933</v>
      </c>
    </row>
    <row r="2" spans="1:15">
      <c r="A2" s="340"/>
      <c r="B2" s="340"/>
      <c r="C2" s="4"/>
      <c r="D2" s="4"/>
      <c r="E2" s="5"/>
      <c r="F2" s="6"/>
      <c r="G2" s="6"/>
      <c r="H2" s="341" t="s">
        <v>124</v>
      </c>
      <c r="I2" s="342">
        <v>3.5</v>
      </c>
      <c r="J2" s="6"/>
      <c r="K2" s="342"/>
      <c r="L2" s="5"/>
      <c r="M2" s="6"/>
    </row>
    <row r="3" spans="1:15" ht="8.1" customHeight="1">
      <c r="A3" s="7"/>
      <c r="B3" s="7"/>
      <c r="C3" s="4"/>
      <c r="D3" s="4"/>
    </row>
    <row r="4" spans="1:15" s="9" customFormat="1">
      <c r="A4" s="343" t="s">
        <v>125</v>
      </c>
      <c r="B4" s="343" t="s">
        <v>126</v>
      </c>
      <c r="C4" s="344" t="s">
        <v>127</v>
      </c>
      <c r="D4" s="344" t="s">
        <v>128</v>
      </c>
      <c r="E4" s="345" t="s">
        <v>2</v>
      </c>
      <c r="F4" s="345" t="s">
        <v>129</v>
      </c>
      <c r="G4" s="346"/>
      <c r="H4" s="347" t="s">
        <v>2</v>
      </c>
      <c r="I4" s="347" t="s">
        <v>129</v>
      </c>
      <c r="J4" s="346"/>
      <c r="K4" s="8"/>
      <c r="L4" s="8"/>
      <c r="M4" s="8"/>
    </row>
    <row r="5" spans="1:15" ht="8.1" customHeight="1">
      <c r="A5" s="348"/>
      <c r="B5" s="348"/>
      <c r="C5" s="349"/>
      <c r="D5" s="349"/>
      <c r="E5" s="350"/>
      <c r="F5" s="348"/>
      <c r="G5" s="351"/>
      <c r="H5" s="351"/>
      <c r="I5" s="351"/>
      <c r="J5" s="351"/>
      <c r="K5" s="53"/>
      <c r="L5" s="150"/>
      <c r="M5" s="17"/>
    </row>
    <row r="6" spans="1:15" ht="13.5" customHeight="1">
      <c r="A6" s="50" t="s">
        <v>23</v>
      </c>
      <c r="B6" s="50"/>
      <c r="C6" s="83"/>
      <c r="D6" s="83"/>
      <c r="E6" s="300"/>
      <c r="F6" s="300"/>
      <c r="G6" s="300"/>
      <c r="H6" s="300"/>
      <c r="I6" s="300"/>
      <c r="J6" s="300"/>
      <c r="K6" s="300"/>
      <c r="L6" s="300"/>
      <c r="M6" s="300"/>
      <c r="N6" s="14"/>
    </row>
    <row r="7" spans="1:15" ht="13.5" customHeight="1">
      <c r="A7" s="352">
        <v>1</v>
      </c>
      <c r="B7" s="160" t="s">
        <v>130</v>
      </c>
      <c r="C7" s="353" t="s">
        <v>131</v>
      </c>
      <c r="D7" s="354" t="s">
        <v>132</v>
      </c>
      <c r="E7" s="355"/>
      <c r="F7" s="355"/>
      <c r="G7" s="355"/>
      <c r="H7" s="356"/>
      <c r="I7" s="356"/>
      <c r="J7" s="355"/>
      <c r="K7" s="357"/>
      <c r="L7" s="358"/>
      <c r="M7" s="358"/>
      <c r="N7" s="14"/>
    </row>
    <row r="8" spans="1:15" ht="13.5" customHeight="1">
      <c r="A8" s="352"/>
      <c r="B8" s="160"/>
      <c r="C8" s="353" t="s">
        <v>131</v>
      </c>
      <c r="D8" s="354" t="s">
        <v>133</v>
      </c>
      <c r="E8" s="359"/>
      <c r="F8" s="355"/>
      <c r="G8" s="355"/>
      <c r="H8" s="356">
        <v>155</v>
      </c>
      <c r="I8" s="356">
        <v>0</v>
      </c>
      <c r="J8" s="355"/>
      <c r="K8" s="358"/>
      <c r="L8" s="358"/>
      <c r="M8" s="360"/>
      <c r="N8" s="14"/>
    </row>
    <row r="9" spans="1:15" ht="13.5" customHeight="1">
      <c r="A9" s="352"/>
      <c r="B9" s="160"/>
      <c r="C9" s="353" t="s">
        <v>131</v>
      </c>
      <c r="D9" s="354" t="s">
        <v>134</v>
      </c>
      <c r="E9" s="355"/>
      <c r="F9" s="355"/>
      <c r="G9" s="355"/>
      <c r="H9" s="356"/>
      <c r="I9" s="356"/>
      <c r="J9" s="355"/>
      <c r="K9" s="358"/>
      <c r="L9" s="358"/>
      <c r="M9" s="360"/>
      <c r="N9" s="14"/>
    </row>
    <row r="10" spans="1:15" ht="8.25" customHeight="1">
      <c r="A10" s="352"/>
      <c r="B10" s="160"/>
      <c r="C10" s="83"/>
      <c r="D10" s="355"/>
      <c r="E10" s="355"/>
      <c r="F10" s="355"/>
      <c r="G10" s="355"/>
      <c r="H10" s="356"/>
      <c r="I10" s="356"/>
      <c r="J10" s="355"/>
      <c r="K10" s="358"/>
      <c r="L10" s="358"/>
      <c r="M10" s="360"/>
      <c r="N10" s="14"/>
    </row>
    <row r="11" spans="1:15" ht="13.5" customHeight="1">
      <c r="A11" s="352">
        <f>A7+1</f>
        <v>2</v>
      </c>
      <c r="B11" s="160" t="s">
        <v>135</v>
      </c>
      <c r="C11" s="361" t="s">
        <v>122</v>
      </c>
      <c r="D11" s="355" t="s">
        <v>136</v>
      </c>
      <c r="E11" s="359"/>
      <c r="F11" s="355"/>
      <c r="G11" s="355"/>
      <c r="H11" s="356"/>
      <c r="I11" s="356"/>
      <c r="J11" s="355"/>
      <c r="K11" s="103" t="s">
        <v>137</v>
      </c>
      <c r="L11" s="65"/>
      <c r="M11" s="362">
        <v>21</v>
      </c>
      <c r="N11" s="14"/>
    </row>
    <row r="12" spans="1:15" ht="13.5" customHeight="1">
      <c r="A12" s="352">
        <f>A11+1</f>
        <v>3</v>
      </c>
      <c r="B12" s="160" t="s">
        <v>135</v>
      </c>
      <c r="C12" s="361" t="s">
        <v>122</v>
      </c>
      <c r="D12" s="355" t="s">
        <v>138</v>
      </c>
      <c r="E12" s="359"/>
      <c r="F12" s="355"/>
      <c r="G12" s="355"/>
      <c r="H12" s="356"/>
      <c r="I12" s="356"/>
      <c r="J12" s="355"/>
      <c r="K12" s="363" t="s">
        <v>139</v>
      </c>
      <c r="L12" s="358"/>
      <c r="M12" s="362">
        <v>27</v>
      </c>
      <c r="N12" s="14"/>
    </row>
    <row r="13" spans="1:15" ht="13.5" customHeight="1">
      <c r="A13" s="352">
        <f>A12+1</f>
        <v>4</v>
      </c>
      <c r="B13" s="160" t="s">
        <v>140</v>
      </c>
      <c r="C13" s="364" t="s">
        <v>131</v>
      </c>
      <c r="D13" s="364"/>
      <c r="E13" s="355"/>
      <c r="F13" s="355"/>
      <c r="G13" s="355"/>
      <c r="H13" s="356"/>
      <c r="I13" s="356"/>
      <c r="J13" s="355"/>
      <c r="K13" s="358"/>
      <c r="L13" s="358"/>
      <c r="M13" s="358"/>
      <c r="N13" s="14"/>
    </row>
    <row r="14" spans="1:15" ht="13.5" customHeight="1">
      <c r="A14" s="352">
        <f>A13+1</f>
        <v>5</v>
      </c>
      <c r="B14" s="160" t="s">
        <v>141</v>
      </c>
      <c r="C14" s="364" t="s">
        <v>131</v>
      </c>
      <c r="D14" s="364"/>
      <c r="E14" s="355"/>
      <c r="F14" s="365"/>
      <c r="G14" s="365"/>
      <c r="H14" s="356"/>
      <c r="I14" s="356"/>
      <c r="J14" s="365"/>
      <c r="K14" s="358"/>
      <c r="L14" s="358"/>
      <c r="M14" s="358"/>
      <c r="N14" s="14"/>
      <c r="O14" s="356">
        <v>30</v>
      </c>
    </row>
    <row r="15" spans="1:15" ht="13.5" customHeight="1">
      <c r="A15" s="352">
        <f t="shared" ref="A15:A27" si="0">A14+1</f>
        <v>6</v>
      </c>
      <c r="B15" s="160" t="s">
        <v>142</v>
      </c>
      <c r="C15" s="364" t="s">
        <v>131</v>
      </c>
      <c r="D15" s="364"/>
      <c r="E15" s="355"/>
      <c r="F15" s="365"/>
      <c r="G15" s="365"/>
      <c r="H15" s="356"/>
      <c r="I15" s="356"/>
      <c r="J15" s="365"/>
      <c r="K15" s="358"/>
      <c r="L15" s="358"/>
      <c r="M15" s="358"/>
      <c r="N15" s="14"/>
      <c r="O15" s="356">
        <v>25</v>
      </c>
    </row>
    <row r="16" spans="1:15" ht="13.5" customHeight="1">
      <c r="A16" s="352">
        <f t="shared" si="0"/>
        <v>7</v>
      </c>
      <c r="B16" s="160" t="s">
        <v>143</v>
      </c>
      <c r="C16" s="364" t="s">
        <v>131</v>
      </c>
      <c r="D16" s="364"/>
      <c r="E16" s="355"/>
      <c r="F16" s="365"/>
      <c r="G16" s="365"/>
      <c r="H16" s="356"/>
      <c r="I16" s="356"/>
      <c r="J16" s="365"/>
      <c r="K16" s="358"/>
      <c r="L16" s="355">
        <v>35</v>
      </c>
      <c r="M16" s="355">
        <v>120</v>
      </c>
      <c r="N16" s="14"/>
    </row>
    <row r="17" spans="1:14" ht="13.5" customHeight="1">
      <c r="A17" s="352">
        <f t="shared" si="0"/>
        <v>8</v>
      </c>
      <c r="B17" s="160" t="s">
        <v>144</v>
      </c>
      <c r="C17" s="364" t="s">
        <v>131</v>
      </c>
      <c r="D17" s="10"/>
      <c r="E17" s="356"/>
      <c r="F17" s="356"/>
      <c r="G17" s="359"/>
      <c r="H17" s="356">
        <v>3</v>
      </c>
      <c r="I17" s="356">
        <v>50</v>
      </c>
      <c r="J17" s="359"/>
      <c r="K17" s="358"/>
      <c r="L17" s="358"/>
      <c r="M17" s="358"/>
      <c r="N17" s="14"/>
    </row>
    <row r="18" spans="1:14" ht="13.5" customHeight="1">
      <c r="A18" s="352">
        <f t="shared" si="0"/>
        <v>9</v>
      </c>
      <c r="B18" s="160" t="s">
        <v>145</v>
      </c>
      <c r="C18" s="361" t="s">
        <v>122</v>
      </c>
      <c r="D18" s="10"/>
      <c r="E18" s="359">
        <v>6</v>
      </c>
      <c r="F18" s="365"/>
      <c r="G18" s="365"/>
      <c r="H18" s="356"/>
      <c r="I18" s="356"/>
      <c r="J18" s="365"/>
      <c r="K18" s="358"/>
      <c r="L18" s="358"/>
      <c r="M18" s="358"/>
      <c r="N18" s="14"/>
    </row>
    <row r="19" spans="1:14" ht="13.5" customHeight="1">
      <c r="A19" s="352">
        <f t="shared" si="0"/>
        <v>10</v>
      </c>
      <c r="B19" s="160" t="s">
        <v>202</v>
      </c>
      <c r="C19" s="361" t="s">
        <v>122</v>
      </c>
      <c r="D19" s="10"/>
      <c r="E19" s="359">
        <v>5</v>
      </c>
      <c r="F19" s="365"/>
      <c r="G19" s="365"/>
      <c r="H19" s="356"/>
      <c r="I19" s="356"/>
      <c r="J19" s="365"/>
      <c r="K19" s="358"/>
      <c r="L19" s="358"/>
      <c r="M19" s="358"/>
      <c r="N19" s="14"/>
    </row>
    <row r="20" spans="1:14" ht="13.5" customHeight="1">
      <c r="A20" s="352">
        <f t="shared" si="0"/>
        <v>11</v>
      </c>
      <c r="B20" s="160" t="s">
        <v>146</v>
      </c>
      <c r="C20" s="364" t="s">
        <v>131</v>
      </c>
      <c r="D20" s="10"/>
      <c r="E20" s="359"/>
      <c r="F20" s="365"/>
      <c r="G20" s="365"/>
      <c r="H20" s="356">
        <v>8</v>
      </c>
      <c r="I20" s="356"/>
      <c r="J20" s="365"/>
      <c r="K20" s="358"/>
      <c r="L20" s="358"/>
      <c r="M20" s="358"/>
      <c r="N20" s="14"/>
    </row>
    <row r="21" spans="1:14" ht="13.5" customHeight="1">
      <c r="A21" s="352">
        <f t="shared" si="0"/>
        <v>12</v>
      </c>
      <c r="B21" s="160" t="s">
        <v>147</v>
      </c>
      <c r="C21" s="361" t="s">
        <v>122</v>
      </c>
      <c r="D21" s="10"/>
      <c r="E21" s="359">
        <v>6</v>
      </c>
      <c r="F21" s="365"/>
      <c r="G21" s="365"/>
      <c r="H21" s="356"/>
      <c r="I21" s="356"/>
      <c r="J21" s="365"/>
      <c r="K21" s="358"/>
      <c r="L21" s="358"/>
      <c r="M21" s="358"/>
      <c r="N21" s="14"/>
    </row>
    <row r="22" spans="1:14" ht="13.5" customHeight="1">
      <c r="A22" s="352">
        <f t="shared" si="0"/>
        <v>13</v>
      </c>
      <c r="B22" s="160" t="s">
        <v>148</v>
      </c>
      <c r="C22" s="364" t="s">
        <v>131</v>
      </c>
      <c r="D22" s="364"/>
      <c r="E22" s="355"/>
      <c r="F22" s="365"/>
      <c r="G22" s="365"/>
      <c r="H22" s="356"/>
      <c r="I22" s="356"/>
      <c r="J22" s="365"/>
      <c r="K22" s="358"/>
      <c r="L22" s="358"/>
      <c r="M22" s="358"/>
      <c r="N22" s="14"/>
    </row>
    <row r="23" spans="1:14" ht="13.5" customHeight="1">
      <c r="A23" s="352">
        <f t="shared" si="0"/>
        <v>14</v>
      </c>
      <c r="B23" s="160" t="s">
        <v>200</v>
      </c>
      <c r="C23" s="364" t="s">
        <v>131</v>
      </c>
      <c r="D23" s="364"/>
      <c r="E23" s="355"/>
      <c r="F23" s="365"/>
      <c r="G23" s="365"/>
      <c r="H23" s="356">
        <v>2</v>
      </c>
      <c r="I23" s="356">
        <v>25</v>
      </c>
      <c r="J23" s="365"/>
      <c r="K23" s="358"/>
      <c r="L23" s="358"/>
      <c r="M23" s="358"/>
      <c r="N23" s="14"/>
    </row>
    <row r="24" spans="1:14" ht="13.5" customHeight="1">
      <c r="A24" s="352">
        <f t="shared" si="0"/>
        <v>15</v>
      </c>
      <c r="B24" s="160" t="s">
        <v>149</v>
      </c>
      <c r="C24" s="364" t="s">
        <v>131</v>
      </c>
      <c r="D24" s="364"/>
      <c r="E24" s="355"/>
      <c r="F24" s="355"/>
      <c r="G24" s="355"/>
      <c r="H24" s="356"/>
      <c r="I24" s="356"/>
      <c r="J24" s="355"/>
      <c r="K24" s="358"/>
      <c r="L24" s="358"/>
      <c r="M24" s="358"/>
      <c r="N24" s="14"/>
    </row>
    <row r="25" spans="1:14" ht="13.5" customHeight="1">
      <c r="A25" s="352">
        <f t="shared" si="0"/>
        <v>16</v>
      </c>
      <c r="B25" s="160" t="s">
        <v>150</v>
      </c>
      <c r="C25" s="361" t="s">
        <v>122</v>
      </c>
      <c r="D25" s="361"/>
      <c r="E25" s="359"/>
      <c r="F25" s="355"/>
      <c r="G25" s="355"/>
      <c r="H25" s="356"/>
      <c r="I25" s="356"/>
      <c r="J25" s="355"/>
      <c r="K25" s="358"/>
      <c r="L25" s="358"/>
      <c r="M25" s="358"/>
      <c r="N25" s="14"/>
    </row>
    <row r="26" spans="1:14" ht="13.5" customHeight="1">
      <c r="A26" s="352">
        <f t="shared" si="0"/>
        <v>17</v>
      </c>
      <c r="B26" s="160" t="s">
        <v>151</v>
      </c>
      <c r="C26" s="364" t="s">
        <v>131</v>
      </c>
      <c r="D26" s="364"/>
      <c r="E26" s="355"/>
      <c r="F26" s="366"/>
      <c r="G26" s="366"/>
      <c r="H26" s="356"/>
      <c r="I26" s="356"/>
      <c r="J26" s="366"/>
      <c r="K26" s="355">
        <v>38</v>
      </c>
      <c r="L26" s="367" t="s">
        <v>152</v>
      </c>
      <c r="M26" s="358"/>
      <c r="N26" s="14"/>
    </row>
    <row r="27" spans="1:14" ht="13.5" customHeight="1">
      <c r="A27" s="352">
        <f t="shared" si="0"/>
        <v>18</v>
      </c>
      <c r="B27" s="160" t="s">
        <v>153</v>
      </c>
      <c r="C27" s="364" t="s">
        <v>131</v>
      </c>
      <c r="D27" s="10"/>
      <c r="E27" s="359"/>
      <c r="F27" s="359"/>
      <c r="G27" s="359"/>
      <c r="H27" s="356">
        <v>3</v>
      </c>
      <c r="I27" s="356">
        <v>50</v>
      </c>
      <c r="J27" s="359"/>
      <c r="K27" s="358"/>
      <c r="L27" s="358"/>
      <c r="M27" s="358"/>
      <c r="N27" s="14"/>
    </row>
    <row r="28" spans="1:14" ht="8.25" customHeight="1">
      <c r="A28" s="352"/>
      <c r="B28" s="160"/>
      <c r="C28" s="83"/>
      <c r="D28" s="355"/>
      <c r="E28" s="355"/>
      <c r="F28" s="355"/>
      <c r="G28" s="355"/>
      <c r="H28" s="356"/>
      <c r="I28" s="356"/>
      <c r="J28" s="355"/>
      <c r="K28" s="358"/>
      <c r="L28" s="358"/>
      <c r="M28" s="360"/>
      <c r="N28" s="14"/>
    </row>
    <row r="29" spans="1:14" ht="13.5" customHeight="1">
      <c r="A29" s="352">
        <f>A27+1</f>
        <v>19</v>
      </c>
      <c r="B29" s="160" t="s">
        <v>154</v>
      </c>
      <c r="C29" s="361" t="s">
        <v>122</v>
      </c>
      <c r="D29" s="364"/>
      <c r="E29" s="359">
        <v>6</v>
      </c>
      <c r="F29" s="18"/>
      <c r="G29" s="18"/>
      <c r="H29" s="356"/>
      <c r="I29" s="356"/>
      <c r="J29" s="18"/>
      <c r="K29" s="358"/>
      <c r="L29" s="358"/>
      <c r="M29" s="358"/>
      <c r="N29" s="14"/>
    </row>
    <row r="30" spans="1:14" ht="13.5" customHeight="1">
      <c r="A30" s="352">
        <f t="shared" ref="A30:A39" si="1">A29+1</f>
        <v>20</v>
      </c>
      <c r="B30" s="160" t="s">
        <v>155</v>
      </c>
      <c r="C30" s="361" t="s">
        <v>122</v>
      </c>
      <c r="D30" s="364"/>
      <c r="E30" s="359">
        <v>9</v>
      </c>
      <c r="F30" s="18"/>
      <c r="G30" s="18"/>
      <c r="H30" s="356"/>
      <c r="I30" s="356"/>
      <c r="J30" s="18"/>
      <c r="K30" s="358"/>
      <c r="L30" s="358"/>
      <c r="M30" s="358"/>
      <c r="N30" s="14"/>
    </row>
    <row r="31" spans="1:14" ht="13.5" customHeight="1">
      <c r="A31" s="352">
        <f t="shared" si="1"/>
        <v>21</v>
      </c>
      <c r="B31" s="160" t="s">
        <v>156</v>
      </c>
      <c r="C31" s="10"/>
      <c r="D31" s="10"/>
      <c r="E31" s="368"/>
      <c r="F31" s="368"/>
      <c r="G31" s="368"/>
      <c r="H31" s="356"/>
      <c r="I31" s="356"/>
      <c r="J31" s="368"/>
      <c r="K31" s="358"/>
      <c r="L31" s="358"/>
      <c r="M31" s="358"/>
      <c r="N31" s="14"/>
    </row>
    <row r="32" spans="1:14" ht="13.5" customHeight="1">
      <c r="A32" s="352">
        <f t="shared" si="1"/>
        <v>22</v>
      </c>
      <c r="B32" s="160" t="s">
        <v>157</v>
      </c>
      <c r="C32" s="361" t="s">
        <v>122</v>
      </c>
      <c r="D32" s="364"/>
      <c r="E32" s="359"/>
      <c r="F32" s="358"/>
      <c r="G32" s="358"/>
      <c r="H32" s="356">
        <v>25</v>
      </c>
      <c r="I32" s="356"/>
      <c r="J32" s="358"/>
      <c r="K32" s="355">
        <v>21</v>
      </c>
      <c r="L32" s="367" t="s">
        <v>158</v>
      </c>
      <c r="M32" s="367"/>
      <c r="N32" s="14"/>
    </row>
    <row r="33" spans="1:14" ht="13.5" customHeight="1">
      <c r="A33" s="352">
        <f t="shared" si="1"/>
        <v>23</v>
      </c>
      <c r="B33" s="160" t="s">
        <v>159</v>
      </c>
      <c r="C33" s="364" t="s">
        <v>131</v>
      </c>
      <c r="D33" s="364"/>
      <c r="E33" s="355"/>
      <c r="F33" s="358"/>
      <c r="G33" s="358"/>
      <c r="H33" s="356"/>
      <c r="I33" s="356"/>
      <c r="J33" s="358"/>
      <c r="K33" s="369" t="s">
        <v>160</v>
      </c>
      <c r="L33" s="358"/>
      <c r="M33" s="358"/>
      <c r="N33" s="14"/>
    </row>
    <row r="34" spans="1:14" ht="13.5" customHeight="1">
      <c r="A34" s="352">
        <f t="shared" si="1"/>
        <v>24</v>
      </c>
      <c r="B34" s="160" t="s">
        <v>161</v>
      </c>
      <c r="C34" s="364" t="s">
        <v>131</v>
      </c>
      <c r="D34" s="364"/>
      <c r="E34" s="355"/>
      <c r="F34" s="358"/>
      <c r="G34" s="358"/>
      <c r="H34" s="356"/>
      <c r="I34" s="356"/>
      <c r="J34" s="358"/>
      <c r="K34" s="358"/>
      <c r="L34" s="358"/>
      <c r="M34" s="355">
        <v>15</v>
      </c>
      <c r="N34" s="14"/>
    </row>
    <row r="35" spans="1:14" ht="13.5" customHeight="1">
      <c r="A35" s="352">
        <f t="shared" si="1"/>
        <v>25</v>
      </c>
      <c r="B35" s="160" t="s">
        <v>162</v>
      </c>
      <c r="C35" s="364" t="s">
        <v>131</v>
      </c>
      <c r="D35" s="364"/>
      <c r="E35" s="355"/>
      <c r="F35" s="358"/>
      <c r="G35" s="358"/>
      <c r="H35" s="356">
        <v>35</v>
      </c>
      <c r="I35" s="356"/>
      <c r="J35" s="358"/>
      <c r="K35" s="358"/>
      <c r="L35" s="358"/>
      <c r="M35" s="358"/>
      <c r="N35" s="14"/>
    </row>
    <row r="36" spans="1:14" ht="13.5" customHeight="1">
      <c r="A36" s="352">
        <f t="shared" si="1"/>
        <v>26</v>
      </c>
      <c r="B36" s="160" t="s">
        <v>163</v>
      </c>
      <c r="C36" s="364" t="s">
        <v>131</v>
      </c>
      <c r="D36" s="364"/>
      <c r="E36" s="355"/>
      <c r="F36" s="368"/>
      <c r="G36" s="368"/>
      <c r="H36" s="356"/>
      <c r="I36" s="356"/>
      <c r="J36" s="368"/>
      <c r="K36" s="357" t="s">
        <v>164</v>
      </c>
      <c r="L36" s="358"/>
      <c r="M36" s="358"/>
      <c r="N36" s="14"/>
    </row>
    <row r="37" spans="1:14" ht="13.5" customHeight="1">
      <c r="A37" s="352">
        <f t="shared" si="1"/>
        <v>27</v>
      </c>
      <c r="B37" s="160" t="s">
        <v>165</v>
      </c>
      <c r="C37" s="364" t="s">
        <v>131</v>
      </c>
      <c r="D37" s="364"/>
      <c r="E37" s="355"/>
      <c r="F37" s="368"/>
      <c r="G37" s="368"/>
      <c r="H37" s="356"/>
      <c r="I37" s="356"/>
      <c r="J37" s="368"/>
      <c r="K37" s="358"/>
      <c r="L37" s="358"/>
      <c r="M37" s="358"/>
      <c r="N37" s="14"/>
    </row>
    <row r="38" spans="1:14" ht="13.5" customHeight="1">
      <c r="A38" s="352">
        <f t="shared" si="1"/>
        <v>28</v>
      </c>
      <c r="B38" s="160" t="s">
        <v>166</v>
      </c>
      <c r="C38" s="361" t="s">
        <v>122</v>
      </c>
      <c r="D38" s="361"/>
      <c r="E38" s="359">
        <v>12</v>
      </c>
      <c r="F38" s="368"/>
      <c r="G38" s="368"/>
      <c r="H38" s="356"/>
      <c r="I38" s="356"/>
      <c r="J38" s="368"/>
      <c r="K38" s="358"/>
      <c r="L38" s="358"/>
      <c r="M38" s="358"/>
      <c r="N38" s="14"/>
    </row>
    <row r="39" spans="1:14" ht="13.5" customHeight="1">
      <c r="A39" s="352">
        <f t="shared" si="1"/>
        <v>29</v>
      </c>
      <c r="B39" s="160" t="s">
        <v>167</v>
      </c>
      <c r="C39" s="361" t="s">
        <v>122</v>
      </c>
      <c r="D39" s="361"/>
      <c r="E39" s="90"/>
      <c r="F39" s="370"/>
      <c r="G39" s="370"/>
      <c r="H39" s="356"/>
      <c r="I39" s="356"/>
      <c r="J39" s="370"/>
      <c r="K39" s="358"/>
      <c r="L39" s="358"/>
      <c r="M39" s="358"/>
      <c r="N39" s="14"/>
    </row>
    <row r="40" spans="1:14" ht="8.25" customHeight="1">
      <c r="A40" s="352"/>
      <c r="B40" s="160"/>
      <c r="C40" s="83"/>
      <c r="D40" s="355"/>
      <c r="E40" s="355"/>
      <c r="F40" s="355"/>
      <c r="G40" s="355"/>
      <c r="H40" s="356"/>
      <c r="I40" s="356"/>
      <c r="J40" s="355"/>
      <c r="K40" s="358"/>
      <c r="L40" s="358"/>
      <c r="M40" s="360"/>
      <c r="N40" s="14"/>
    </row>
    <row r="41" spans="1:14" ht="13.5" customHeight="1">
      <c r="A41" s="352">
        <f>A39+2</f>
        <v>31</v>
      </c>
      <c r="B41" s="160" t="s">
        <v>168</v>
      </c>
      <c r="C41" s="371" t="s">
        <v>169</v>
      </c>
      <c r="D41" s="371"/>
      <c r="E41" s="366" t="s">
        <v>170</v>
      </c>
      <c r="F41" s="366" t="s">
        <v>170</v>
      </c>
      <c r="G41" s="366"/>
      <c r="H41" s="356"/>
      <c r="I41" s="356"/>
      <c r="J41" s="366"/>
      <c r="K41" s="358"/>
      <c r="L41" s="358"/>
      <c r="M41" s="358"/>
      <c r="N41" s="14"/>
    </row>
    <row r="42" spans="1:14" ht="13.5" customHeight="1">
      <c r="A42" s="352"/>
      <c r="B42" s="160" t="s">
        <v>171</v>
      </c>
      <c r="C42" s="361" t="s">
        <v>122</v>
      </c>
      <c r="D42" s="364"/>
      <c r="E42" s="359"/>
      <c r="F42" s="366"/>
      <c r="G42" s="366"/>
      <c r="H42" s="356">
        <v>49</v>
      </c>
      <c r="I42" s="356"/>
      <c r="J42" s="366"/>
      <c r="K42" s="358"/>
      <c r="L42" s="358"/>
      <c r="M42" s="358"/>
      <c r="N42" s="14"/>
    </row>
    <row r="43" spans="1:14" ht="13.5" customHeight="1">
      <c r="A43" s="352">
        <f>A41+1</f>
        <v>32</v>
      </c>
      <c r="B43" s="160" t="s">
        <v>172</v>
      </c>
      <c r="C43" s="361"/>
      <c r="D43" s="361"/>
      <c r="E43" s="359"/>
      <c r="F43" s="359"/>
      <c r="G43" s="359"/>
      <c r="H43" s="356"/>
      <c r="I43" s="356"/>
      <c r="J43" s="359"/>
      <c r="K43" s="372" t="s">
        <v>173</v>
      </c>
      <c r="L43" s="358"/>
      <c r="M43" s="358"/>
      <c r="N43" s="14"/>
    </row>
    <row r="44" spans="1:14" ht="13.5" customHeight="1">
      <c r="A44" s="352">
        <f t="shared" ref="A44:A48" si="2">A43+1</f>
        <v>33</v>
      </c>
      <c r="B44" s="160" t="s">
        <v>174</v>
      </c>
      <c r="C44" s="361" t="s">
        <v>122</v>
      </c>
      <c r="D44" s="361"/>
      <c r="E44" s="359"/>
      <c r="F44" s="90"/>
      <c r="G44" s="90"/>
      <c r="H44" s="356"/>
      <c r="I44" s="356"/>
      <c r="J44" s="90"/>
      <c r="K44" s="372" t="s">
        <v>175</v>
      </c>
      <c r="L44" s="358"/>
      <c r="M44" s="358"/>
      <c r="N44" s="14"/>
    </row>
    <row r="45" spans="1:14" ht="13.5" customHeight="1">
      <c r="A45" s="352">
        <f t="shared" si="2"/>
        <v>34</v>
      </c>
      <c r="B45" s="160" t="s">
        <v>176</v>
      </c>
      <c r="C45" s="373" t="s">
        <v>177</v>
      </c>
      <c r="D45" s="373"/>
      <c r="E45" s="368"/>
      <c r="F45" s="368"/>
      <c r="G45" s="368"/>
      <c r="H45" s="356">
        <v>28</v>
      </c>
      <c r="I45" s="356"/>
      <c r="J45" s="368"/>
      <c r="K45" s="358"/>
      <c r="L45" s="358"/>
      <c r="M45" s="358"/>
      <c r="N45" s="14"/>
    </row>
    <row r="46" spans="1:14" ht="13.5" customHeight="1">
      <c r="A46" s="352">
        <f t="shared" si="2"/>
        <v>35</v>
      </c>
      <c r="B46" s="160" t="s">
        <v>178</v>
      </c>
      <c r="C46" s="361" t="s">
        <v>122</v>
      </c>
      <c r="D46" s="361"/>
      <c r="E46" s="359"/>
      <c r="F46" s="90"/>
      <c r="G46" s="90"/>
      <c r="H46" s="356"/>
      <c r="I46" s="356"/>
      <c r="J46" s="90"/>
      <c r="K46" s="358"/>
      <c r="L46" s="358"/>
      <c r="M46" s="358"/>
      <c r="N46" s="14"/>
    </row>
    <row r="47" spans="1:14" ht="13.5" customHeight="1">
      <c r="A47" s="352">
        <f t="shared" si="2"/>
        <v>36</v>
      </c>
      <c r="B47" s="160" t="s">
        <v>179</v>
      </c>
      <c r="C47" s="361" t="s">
        <v>122</v>
      </c>
      <c r="D47" s="361"/>
      <c r="E47" s="359"/>
      <c r="F47" s="90"/>
      <c r="G47" s="90"/>
      <c r="H47" s="356"/>
      <c r="I47" s="356"/>
      <c r="J47" s="90"/>
      <c r="K47" s="358"/>
      <c r="L47" s="358"/>
      <c r="M47" s="358"/>
      <c r="N47" s="14"/>
    </row>
    <row r="48" spans="1:14" ht="13.5" customHeight="1">
      <c r="A48" s="352">
        <f t="shared" si="2"/>
        <v>37</v>
      </c>
      <c r="B48" s="160" t="s">
        <v>180</v>
      </c>
      <c r="C48" s="373" t="s">
        <v>177</v>
      </c>
      <c r="D48" s="373"/>
      <c r="E48" s="368"/>
      <c r="F48" s="368"/>
      <c r="G48" s="368"/>
      <c r="H48" s="356"/>
      <c r="I48" s="356"/>
      <c r="J48" s="368"/>
      <c r="K48" s="358"/>
      <c r="L48" s="358"/>
      <c r="M48" s="358"/>
      <c r="N48" s="14"/>
    </row>
    <row r="49" spans="1:15" ht="13.5" customHeight="1">
      <c r="A49" s="352"/>
      <c r="B49" s="160"/>
      <c r="C49" s="10"/>
      <c r="D49" s="10"/>
      <c r="E49" s="18"/>
      <c r="F49" s="358"/>
      <c r="G49" s="358"/>
      <c r="H49" s="358"/>
      <c r="I49" s="358"/>
      <c r="J49" s="358"/>
      <c r="K49" s="358"/>
      <c r="L49" s="358"/>
      <c r="M49" s="358"/>
      <c r="N49" s="14"/>
    </row>
    <row r="50" spans="1:15" ht="9" customHeight="1">
      <c r="A50" s="92"/>
      <c r="B50" s="374"/>
      <c r="K50" s="7"/>
      <c r="L50" s="93"/>
      <c r="M50" s="94"/>
    </row>
    <row r="51" spans="1:15" ht="5.0999999999999996" customHeight="1">
      <c r="B51" s="37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</row>
    <row r="52" spans="1:15" ht="9" customHeight="1">
      <c r="A52" s="92"/>
      <c r="B52" s="374"/>
      <c r="K52" s="7"/>
      <c r="L52" s="93"/>
      <c r="M52" s="94"/>
    </row>
    <row r="53" spans="1:15" ht="13.5" customHeight="1">
      <c r="A53" s="376"/>
      <c r="B53" s="377" t="s">
        <v>181</v>
      </c>
      <c r="C53" s="98" t="s">
        <v>122</v>
      </c>
      <c r="D53" s="98"/>
      <c r="E53" s="90">
        <f>SUMIF($C$6:$C$48,"USD",$E$6:$E$48)</f>
        <v>44</v>
      </c>
      <c r="F53" s="18">
        <f>SUMIF($C$6:$C$48,"USD",$F$6:$F$48)</f>
        <v>0</v>
      </c>
      <c r="G53" s="18"/>
      <c r="H53" s="378">
        <f>SUM(H11:H49)</f>
        <v>153</v>
      </c>
      <c r="I53" s="378">
        <f>SUM(I11:I49)</f>
        <v>125</v>
      </c>
      <c r="J53" s="18"/>
      <c r="K53" s="379"/>
      <c r="L53" s="379"/>
      <c r="M53" s="379"/>
      <c r="N53" s="14"/>
    </row>
    <row r="54" spans="1:15" ht="13.5" customHeight="1">
      <c r="A54" s="376"/>
      <c r="B54" s="377" t="s">
        <v>182</v>
      </c>
      <c r="C54" s="98" t="s">
        <v>131</v>
      </c>
      <c r="D54" s="98"/>
      <c r="E54" s="378">
        <f>H53</f>
        <v>153</v>
      </c>
      <c r="F54" s="378">
        <f>I53</f>
        <v>125</v>
      </c>
      <c r="G54" s="378"/>
      <c r="H54" s="368"/>
      <c r="I54" s="368"/>
      <c r="J54" s="378"/>
      <c r="K54" s="379"/>
      <c r="L54" s="18"/>
      <c r="M54" s="379"/>
      <c r="N54" s="14"/>
    </row>
    <row r="55" spans="1:15" ht="13.5" customHeight="1">
      <c r="A55" s="376"/>
      <c r="B55" s="377" t="s">
        <v>183</v>
      </c>
      <c r="C55" s="297">
        <f>I1</f>
        <v>3.4</v>
      </c>
      <c r="D55" s="297"/>
      <c r="E55" s="90">
        <f>E54/C55</f>
        <v>45</v>
      </c>
      <c r="F55" s="90">
        <f>F54/C55</f>
        <v>36.764705882352942</v>
      </c>
      <c r="G55" s="90"/>
      <c r="H55" s="90"/>
      <c r="I55" s="90"/>
      <c r="J55" s="90"/>
      <c r="K55" s="379"/>
      <c r="L55" s="18"/>
      <c r="M55" s="379"/>
      <c r="N55" s="14"/>
    </row>
    <row r="56" spans="1:15" ht="13.5" customHeight="1">
      <c r="A56" s="376"/>
      <c r="B56" s="377"/>
      <c r="C56" s="380"/>
      <c r="D56" s="380"/>
      <c r="E56" s="90"/>
      <c r="F56" s="90"/>
      <c r="G56" s="90"/>
      <c r="H56" s="90"/>
      <c r="I56" s="90"/>
      <c r="J56" s="90"/>
      <c r="K56" s="381"/>
      <c r="L56" s="18"/>
      <c r="M56" s="379"/>
      <c r="O56" s="14"/>
    </row>
    <row r="57" spans="1:15" ht="13.5" customHeight="1">
      <c r="A57" s="376"/>
      <c r="B57" s="382" t="s">
        <v>184</v>
      </c>
      <c r="C57" s="383"/>
      <c r="D57" s="383"/>
      <c r="E57" s="384">
        <f>E53+E55+E56</f>
        <v>89</v>
      </c>
      <c r="F57" s="384">
        <f>F53+F55+F56</f>
        <v>36.764705882352942</v>
      </c>
      <c r="G57" s="384"/>
      <c r="H57" s="384"/>
      <c r="I57" s="384"/>
      <c r="J57" s="384"/>
      <c r="K57" s="379"/>
      <c r="L57" s="379"/>
      <c r="M57" s="379"/>
      <c r="N57" s="14"/>
    </row>
    <row r="58" spans="1:15" ht="13.5" customHeight="1">
      <c r="A58" s="376"/>
      <c r="B58" s="377"/>
      <c r="C58" s="98"/>
      <c r="D58" s="385"/>
      <c r="E58" s="386"/>
      <c r="F58" s="200"/>
      <c r="G58" s="200"/>
      <c r="H58" s="18"/>
      <c r="I58" s="387"/>
      <c r="J58" s="200"/>
      <c r="K58" s="387"/>
      <c r="L58" s="387"/>
      <c r="M58" s="387"/>
      <c r="N58" s="14"/>
    </row>
    <row r="59" spans="1:15" ht="15" customHeight="1">
      <c r="A59" s="376"/>
      <c r="B59" s="388" t="s">
        <v>185</v>
      </c>
      <c r="C59" s="389"/>
      <c r="D59" s="390"/>
      <c r="E59" s="391">
        <f>ROUNDUP(E57,0)</f>
        <v>89</v>
      </c>
      <c r="F59" s="391">
        <f>ROUNDUP(F57,0)</f>
        <v>37</v>
      </c>
      <c r="G59" s="392"/>
      <c r="H59" s="18"/>
      <c r="I59" s="307"/>
      <c r="J59" s="384"/>
      <c r="K59" s="307"/>
      <c r="L59" s="307"/>
      <c r="M59" s="307"/>
      <c r="N59" s="14"/>
    </row>
    <row r="60" spans="1:15">
      <c r="A60" s="23"/>
      <c r="B60" s="16"/>
      <c r="C60" s="393"/>
      <c r="D60" s="393"/>
      <c r="E60" s="394"/>
      <c r="F60" s="52"/>
      <c r="G60" s="52"/>
      <c r="H60" s="18"/>
      <c r="I60" s="18"/>
      <c r="J60" s="384"/>
      <c r="K60" s="395"/>
      <c r="L60" s="395"/>
      <c r="M60" s="395"/>
    </row>
    <row r="62" spans="1:15" ht="5.0999999999999996" customHeight="1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</row>
    <row r="63" spans="1:15" ht="9" customHeight="1">
      <c r="A63" s="92"/>
      <c r="B63" s="92"/>
      <c r="K63" s="7"/>
      <c r="L63" s="93"/>
      <c r="M63" s="94"/>
    </row>
    <row r="66" spans="5:5">
      <c r="E66" s="396"/>
    </row>
  </sheetData>
  <pageMargins left="0.33" right="0.17" top="0.19" bottom="0.56999999999999995" header="0.17" footer="0.16"/>
  <pageSetup paperSize="9" fitToHeight="0" orientation="portrait" horizontalDpi="1200" verticalDpi="1200" r:id="rId1"/>
  <headerFooter alignWithMargins="0">
    <oddFooter>&amp;L&amp;"Wingdings,Regular"&amp;8 1&amp;"Tahoma,Regular" &amp;F  &amp;"Wingdings,Regular"4&amp;"Tahoma,Regular" &amp;A&amp;R&amp;"Univers (PCL6),Bold Italic"&amp;8&amp;P of &amp;N
Printed:&amp;"Univers (PCL6),Regular" &amp;D,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9"/>
  <sheetViews>
    <sheetView workbookViewId="0">
      <selection activeCell="D3" sqref="D3"/>
    </sheetView>
  </sheetViews>
  <sheetFormatPr defaultRowHeight="12"/>
  <cols>
    <col min="2" max="2" width="21.85546875" bestFit="1" customWidth="1"/>
    <col min="3" max="3" width="20.140625" bestFit="1" customWidth="1"/>
    <col min="4" max="4" width="20.85546875" bestFit="1" customWidth="1"/>
    <col min="5" max="5" width="23.5703125" bestFit="1" customWidth="1"/>
    <col min="6" max="6" width="21.5703125" bestFit="1" customWidth="1"/>
    <col min="7" max="7" width="18.85546875" bestFit="1" customWidth="1"/>
    <col min="8" max="8" width="19.140625" bestFit="1" customWidth="1"/>
    <col min="9" max="9" width="21.85546875" bestFit="1" customWidth="1"/>
    <col min="10" max="10" width="19.7109375" bestFit="1" customWidth="1"/>
    <col min="11" max="11" width="18" bestFit="1" customWidth="1"/>
  </cols>
  <sheetData>
    <row r="1" spans="1:11">
      <c r="A1" t="s">
        <v>85</v>
      </c>
      <c r="B1" s="626">
        <v>43243</v>
      </c>
      <c r="C1" s="626">
        <v>43244</v>
      </c>
      <c r="D1" s="626">
        <v>43245</v>
      </c>
      <c r="E1" s="626">
        <v>43246</v>
      </c>
      <c r="F1" s="626">
        <v>43247</v>
      </c>
      <c r="G1" s="626">
        <v>43248</v>
      </c>
      <c r="H1" s="626">
        <v>43249</v>
      </c>
      <c r="I1" s="626">
        <v>43250</v>
      </c>
      <c r="J1" s="626">
        <v>43251</v>
      </c>
      <c r="K1" s="626">
        <v>43252</v>
      </c>
    </row>
    <row r="2" spans="1:11">
      <c r="A2" t="s">
        <v>253</v>
      </c>
      <c r="B2" t="s">
        <v>304</v>
      </c>
      <c r="C2" t="s">
        <v>268</v>
      </c>
      <c r="D2" t="s">
        <v>268</v>
      </c>
      <c r="E2" t="s">
        <v>296</v>
      </c>
      <c r="F2" t="s">
        <v>297</v>
      </c>
      <c r="G2" t="s">
        <v>297</v>
      </c>
      <c r="H2" t="s">
        <v>295</v>
      </c>
      <c r="I2" t="s">
        <v>295</v>
      </c>
      <c r="J2" t="s">
        <v>295</v>
      </c>
      <c r="K2" t="s">
        <v>298</v>
      </c>
    </row>
    <row r="3" spans="1:11">
      <c r="A3" t="s">
        <v>92</v>
      </c>
      <c r="B3" t="s">
        <v>305</v>
      </c>
      <c r="C3" t="s">
        <v>300</v>
      </c>
      <c r="D3" t="s">
        <v>300</v>
      </c>
      <c r="E3" t="s">
        <v>301</v>
      </c>
      <c r="F3" t="s">
        <v>302</v>
      </c>
      <c r="G3" t="s">
        <v>303</v>
      </c>
      <c r="H3" t="s">
        <v>299</v>
      </c>
      <c r="I3" t="s">
        <v>299</v>
      </c>
      <c r="J3" t="s">
        <v>299</v>
      </c>
    </row>
    <row r="4" spans="1:11">
      <c r="A4" t="s">
        <v>263</v>
      </c>
    </row>
    <row r="5" spans="1:11" ht="38.25" customHeight="1">
      <c r="A5" s="627">
        <v>0.29166666666666669</v>
      </c>
    </row>
    <row r="6" spans="1:11" ht="37.5" customHeight="1">
      <c r="A6" s="627">
        <v>0.33333333333333331</v>
      </c>
    </row>
    <row r="7" spans="1:11" ht="38.25" customHeight="1">
      <c r="A7" s="627">
        <v>0.375</v>
      </c>
    </row>
    <row r="8" spans="1:11" ht="38.25" customHeight="1">
      <c r="A8" s="627">
        <v>0.41666666666666669</v>
      </c>
    </row>
    <row r="9" spans="1:11" ht="36.75" customHeight="1">
      <c r="A9" s="627">
        <v>0.45833333333333331</v>
      </c>
    </row>
    <row r="10" spans="1:11" ht="38.25" customHeight="1">
      <c r="A10" s="627">
        <v>0.5</v>
      </c>
    </row>
    <row r="11" spans="1:11" ht="38.25" customHeight="1">
      <c r="A11" s="627">
        <v>0.54166666666666663</v>
      </c>
    </row>
    <row r="12" spans="1:11" ht="38.25" customHeight="1">
      <c r="A12" s="627">
        <v>0.58333333333333337</v>
      </c>
    </row>
    <row r="13" spans="1:11" ht="38.25" customHeight="1">
      <c r="A13" s="627">
        <v>0.625</v>
      </c>
    </row>
    <row r="14" spans="1:11" ht="38.25" customHeight="1">
      <c r="A14" s="627">
        <v>0.66666666666666663</v>
      </c>
    </row>
    <row r="15" spans="1:11" ht="38.25" customHeight="1">
      <c r="A15" s="627">
        <v>0.70833333333333337</v>
      </c>
    </row>
    <row r="16" spans="1:11" ht="38.25" customHeight="1">
      <c r="A16" s="627">
        <v>0.75</v>
      </c>
    </row>
    <row r="17" spans="1:1" ht="38.25" customHeight="1">
      <c r="A17" s="627">
        <v>0.79166666666666663</v>
      </c>
    </row>
    <row r="18" spans="1:1" ht="38.25" customHeight="1">
      <c r="A18" s="627">
        <v>0.83333333333333337</v>
      </c>
    </row>
    <row r="19" spans="1:1" ht="38.25" customHeight="1">
      <c r="A19" s="627">
        <v>0.875</v>
      </c>
    </row>
    <row r="20" spans="1:1" ht="38.25" customHeight="1">
      <c r="A20" s="627">
        <v>0.91666666666666663</v>
      </c>
    </row>
    <row r="21" spans="1:1" ht="38.25" customHeight="1">
      <c r="A21" s="627">
        <v>0.95833333333333337</v>
      </c>
    </row>
    <row r="22" spans="1:1" ht="38.25" customHeight="1">
      <c r="A22" s="627">
        <v>0</v>
      </c>
    </row>
    <row r="24" spans="1:1">
      <c r="A24" s="627"/>
    </row>
    <row r="25" spans="1:1">
      <c r="A25" s="627"/>
    </row>
    <row r="26" spans="1:1">
      <c r="A26" s="627"/>
    </row>
    <row r="27" spans="1:1">
      <c r="A27" s="627"/>
    </row>
    <row r="28" spans="1:1">
      <c r="A28" s="627"/>
    </row>
    <row r="29" spans="1:1">
      <c r="A29" s="627"/>
    </row>
    <row r="30" spans="1:1">
      <c r="A30" s="627"/>
    </row>
    <row r="31" spans="1:1">
      <c r="A31" s="627"/>
    </row>
    <row r="32" spans="1:1">
      <c r="A32" s="627"/>
    </row>
    <row r="33" spans="1:1">
      <c r="A33" s="627"/>
    </row>
    <row r="34" spans="1:1">
      <c r="A34" s="627"/>
    </row>
    <row r="35" spans="1:1">
      <c r="A35" s="627"/>
    </row>
    <row r="36" spans="1:1">
      <c r="A36" s="627"/>
    </row>
    <row r="37" spans="1:1">
      <c r="A37" s="627"/>
    </row>
    <row r="38" spans="1:1">
      <c r="A38" s="627"/>
    </row>
    <row r="39" spans="1:1">
      <c r="A39" s="6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Costing-$$$ V.1</vt:lpstr>
      <vt:lpstr>PFile</vt:lpstr>
      <vt:lpstr>Itinerary v.2</vt:lpstr>
      <vt:lpstr>E.Fees - BLS (2017-18)</vt:lpstr>
      <vt:lpstr>Sheet1</vt:lpstr>
      <vt:lpstr>'Costing-$$$ V.1'!Print_Area</vt:lpstr>
      <vt:lpstr>'E.Fees - BLS (2017-18)'!Print_Area</vt:lpstr>
      <vt:lpstr>'Itinerary v.2'!Print_Area</vt:lpstr>
      <vt:lpstr>'Costing-$$$ V.1'!Print_Titles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Allon Bar-Nur</dc:creator>
  <cp:lastModifiedBy>Guy Gordon</cp:lastModifiedBy>
  <cp:lastPrinted>2018-09-12T11:44:59Z</cp:lastPrinted>
  <dcterms:created xsi:type="dcterms:W3CDTF">2008-10-26T09:52:16Z</dcterms:created>
  <dcterms:modified xsi:type="dcterms:W3CDTF">2019-08-11T06:34:54Z</dcterms:modified>
</cp:coreProperties>
</file>